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19416" windowHeight="11016" activeTab="2"/>
  </bookViews>
  <sheets>
    <sheet name="Приложение 4" sheetId="1" r:id="rId1"/>
    <sheet name="Приложение5" sheetId="2" r:id="rId2"/>
    <sheet name="Приложение6" sheetId="3" r:id="rId3"/>
  </sheets>
  <externalReferences>
    <externalReference r:id="rId4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3" l="1"/>
  <c r="F44" i="3"/>
  <c r="F42" i="3" s="1"/>
  <c r="G44" i="3"/>
  <c r="G42" i="3" s="1"/>
  <c r="G41" i="3" s="1"/>
  <c r="H44" i="3"/>
  <c r="E45" i="3"/>
  <c r="H46" i="3"/>
  <c r="I46" i="3"/>
  <c r="J46" i="3"/>
  <c r="K46" i="3"/>
  <c r="L46" i="3"/>
  <c r="M46" i="3"/>
  <c r="N46" i="3"/>
  <c r="E47" i="3"/>
  <c r="E48" i="3"/>
  <c r="E27" i="3"/>
  <c r="F28" i="3"/>
  <c r="F26" i="3" s="1"/>
  <c r="G28" i="3"/>
  <c r="G26" i="3" s="1"/>
  <c r="G25" i="3" s="1"/>
  <c r="H28" i="3"/>
  <c r="H26" i="3" s="1"/>
  <c r="E29" i="3"/>
  <c r="E30" i="3"/>
  <c r="E31" i="3"/>
  <c r="G32" i="3"/>
  <c r="H32" i="3"/>
  <c r="N24" i="3"/>
  <c r="M24" i="3"/>
  <c r="L24" i="3"/>
  <c r="K24" i="3"/>
  <c r="J24" i="3"/>
  <c r="I24" i="3"/>
  <c r="H24" i="3"/>
  <c r="G24" i="3"/>
  <c r="F24" i="3"/>
  <c r="E24" i="3" s="1"/>
  <c r="N23" i="3"/>
  <c r="M23" i="3"/>
  <c r="L23" i="3"/>
  <c r="K23" i="3"/>
  <c r="J23" i="3"/>
  <c r="I23" i="3"/>
  <c r="H23" i="3"/>
  <c r="G23" i="3"/>
  <c r="F23" i="3"/>
  <c r="F22" i="3"/>
  <c r="N19" i="3"/>
  <c r="M19" i="3"/>
  <c r="L19" i="3"/>
  <c r="K19" i="3"/>
  <c r="J19" i="3"/>
  <c r="I19" i="3"/>
  <c r="H19" i="3"/>
  <c r="G19" i="3"/>
  <c r="F19" i="3"/>
  <c r="E35" i="3"/>
  <c r="F36" i="3"/>
  <c r="G36" i="3"/>
  <c r="H36" i="3"/>
  <c r="F37" i="3"/>
  <c r="F21" i="3" s="1"/>
  <c r="G37" i="3"/>
  <c r="H37" i="3"/>
  <c r="H21" i="3" s="1"/>
  <c r="N37" i="3"/>
  <c r="N21" i="3" s="1"/>
  <c r="G38" i="3"/>
  <c r="G22" i="3" s="1"/>
  <c r="H38" i="3"/>
  <c r="I38" i="3"/>
  <c r="I22" i="3" s="1"/>
  <c r="J38" i="3"/>
  <c r="J22" i="3" s="1"/>
  <c r="N38" i="3"/>
  <c r="E39" i="3"/>
  <c r="E40" i="3"/>
  <c r="E51" i="3"/>
  <c r="F52" i="3"/>
  <c r="F50" i="3" s="1"/>
  <c r="G52" i="3"/>
  <c r="G50" i="3" s="1"/>
  <c r="G49" i="3" s="1"/>
  <c r="H52" i="3"/>
  <c r="H50" i="3" s="1"/>
  <c r="H49" i="3" s="1"/>
  <c r="I52" i="3"/>
  <c r="K52" i="3"/>
  <c r="L52" i="3"/>
  <c r="M52" i="3"/>
  <c r="N52" i="3"/>
  <c r="E53" i="3"/>
  <c r="I54" i="3"/>
  <c r="E55" i="3"/>
  <c r="E56" i="3"/>
  <c r="E59" i="3"/>
  <c r="G60" i="3"/>
  <c r="G58" i="3" s="1"/>
  <c r="G57" i="3" s="1"/>
  <c r="F61" i="3"/>
  <c r="F60" i="3" s="1"/>
  <c r="G61" i="3"/>
  <c r="G21" i="3" s="1"/>
  <c r="H61" i="3"/>
  <c r="H60" i="3" s="1"/>
  <c r="H58" i="3" s="1"/>
  <c r="H57" i="3" s="1"/>
  <c r="I61" i="3"/>
  <c r="I21" i="3" s="1"/>
  <c r="J61" i="3"/>
  <c r="J21" i="3" s="1"/>
  <c r="K61" i="3"/>
  <c r="K21" i="3" s="1"/>
  <c r="L61" i="3"/>
  <c r="L21" i="3" s="1"/>
  <c r="M61" i="3"/>
  <c r="M21" i="3" s="1"/>
  <c r="N61" i="3"/>
  <c r="H62" i="3"/>
  <c r="I62" i="3"/>
  <c r="J62" i="3"/>
  <c r="K62" i="3"/>
  <c r="L62" i="3"/>
  <c r="M62" i="3"/>
  <c r="N62" i="3"/>
  <c r="E63" i="3"/>
  <c r="E64" i="3"/>
  <c r="O86" i="2"/>
  <c r="O83" i="2"/>
  <c r="N83" i="2"/>
  <c r="N74" i="2"/>
  <c r="O72" i="2"/>
  <c r="O66" i="2" s="1"/>
  <c r="O65" i="2" s="1"/>
  <c r="N72" i="2"/>
  <c r="N67" i="2"/>
  <c r="U66" i="2"/>
  <c r="N60" i="3" s="1"/>
  <c r="N58" i="3" s="1"/>
  <c r="N57" i="3" s="1"/>
  <c r="T66" i="2"/>
  <c r="M60" i="3" s="1"/>
  <c r="M58" i="3" s="1"/>
  <c r="M57" i="3" s="1"/>
  <c r="S66" i="2"/>
  <c r="L60" i="3" s="1"/>
  <c r="L58" i="3" s="1"/>
  <c r="L57" i="3" s="1"/>
  <c r="R66" i="2"/>
  <c r="K60" i="3" s="1"/>
  <c r="K58" i="3" s="1"/>
  <c r="K57" i="3" s="1"/>
  <c r="Q66" i="2"/>
  <c r="P66" i="2"/>
  <c r="I60" i="3" s="1"/>
  <c r="I58" i="3" s="1"/>
  <c r="I57" i="3" s="1"/>
  <c r="N66" i="2"/>
  <c r="N65" i="2" s="1"/>
  <c r="M66" i="2"/>
  <c r="U65" i="2"/>
  <c r="S65" i="2"/>
  <c r="Q65" i="2"/>
  <c r="M65" i="2"/>
  <c r="Q57" i="2"/>
  <c r="U56" i="2"/>
  <c r="T56" i="2"/>
  <c r="S56" i="2"/>
  <c r="R56" i="2"/>
  <c r="Q56" i="2"/>
  <c r="P56" i="2"/>
  <c r="O56" i="2"/>
  <c r="N56" i="2"/>
  <c r="M56" i="2"/>
  <c r="U55" i="2"/>
  <c r="T55" i="2"/>
  <c r="S55" i="2"/>
  <c r="R55" i="2"/>
  <c r="Q55" i="2"/>
  <c r="P55" i="2"/>
  <c r="O55" i="2"/>
  <c r="N55" i="2"/>
  <c r="M55" i="2"/>
  <c r="U54" i="2"/>
  <c r="N54" i="3" s="1"/>
  <c r="T54" i="2"/>
  <c r="M54" i="3" s="1"/>
  <c r="M22" i="3" s="1"/>
  <c r="S54" i="2"/>
  <c r="L54" i="3" s="1"/>
  <c r="L22" i="3" s="1"/>
  <c r="R54" i="2"/>
  <c r="K54" i="3" s="1"/>
  <c r="K22" i="3" s="1"/>
  <c r="Q54" i="2"/>
  <c r="J54" i="3" s="1"/>
  <c r="P54" i="2"/>
  <c r="O54" i="2"/>
  <c r="O53" i="2" s="1"/>
  <c r="N54" i="2"/>
  <c r="M54" i="2"/>
  <c r="M53" i="2" s="1"/>
  <c r="T53" i="2"/>
  <c r="R53" i="2"/>
  <c r="P53" i="2"/>
  <c r="N53" i="2"/>
  <c r="U46" i="2"/>
  <c r="N44" i="3" s="1"/>
  <c r="N42" i="3" s="1"/>
  <c r="N41" i="3" s="1"/>
  <c r="T46" i="2"/>
  <c r="M44" i="3" s="1"/>
  <c r="M42" i="3" s="1"/>
  <c r="M41" i="3" s="1"/>
  <c r="S46" i="2"/>
  <c r="L44" i="3" s="1"/>
  <c r="L42" i="3" s="1"/>
  <c r="L41" i="3" s="1"/>
  <c r="R46" i="2"/>
  <c r="K44" i="3" s="1"/>
  <c r="K42" i="3" s="1"/>
  <c r="K41" i="3" s="1"/>
  <c r="Q46" i="2"/>
  <c r="J44" i="3" s="1"/>
  <c r="J42" i="3" s="1"/>
  <c r="J41" i="3" s="1"/>
  <c r="P46" i="2"/>
  <c r="I44" i="3" s="1"/>
  <c r="I42" i="3" s="1"/>
  <c r="I41" i="3" s="1"/>
  <c r="O46" i="2"/>
  <c r="O45" i="2" s="1"/>
  <c r="O16" i="2" s="1"/>
  <c r="O15" i="2" s="1"/>
  <c r="N46" i="2"/>
  <c r="M46" i="2"/>
  <c r="M45" i="2" s="1"/>
  <c r="T45" i="2"/>
  <c r="R45" i="2"/>
  <c r="P45" i="2"/>
  <c r="N45" i="2"/>
  <c r="M29" i="2"/>
  <c r="M28" i="2" s="1"/>
  <c r="M27" i="2" s="1"/>
  <c r="U28" i="2"/>
  <c r="T28" i="2"/>
  <c r="T27" i="2" s="1"/>
  <c r="S28" i="2"/>
  <c r="L36" i="3" s="1"/>
  <c r="L34" i="3" s="1"/>
  <c r="L33" i="3" s="1"/>
  <c r="R28" i="2"/>
  <c r="K36" i="3" s="1"/>
  <c r="K34" i="3" s="1"/>
  <c r="K33" i="3" s="1"/>
  <c r="Q28" i="2"/>
  <c r="P28" i="2"/>
  <c r="P27" i="2" s="1"/>
  <c r="O28" i="2"/>
  <c r="N28" i="2"/>
  <c r="N27" i="2" s="1"/>
  <c r="U27" i="2"/>
  <c r="S27" i="2"/>
  <c r="Q27" i="2"/>
  <c r="O27" i="2"/>
  <c r="O24" i="2"/>
  <c r="N24" i="2"/>
  <c r="O22" i="2"/>
  <c r="N22" i="2"/>
  <c r="U21" i="2"/>
  <c r="N28" i="3" s="1"/>
  <c r="T21" i="2"/>
  <c r="M28" i="3" s="1"/>
  <c r="M26" i="3" s="1"/>
  <c r="M25" i="3" s="1"/>
  <c r="S21" i="2"/>
  <c r="L28" i="3" s="1"/>
  <c r="L26" i="3" s="1"/>
  <c r="L25" i="3" s="1"/>
  <c r="R21" i="2"/>
  <c r="K28" i="3" s="1"/>
  <c r="Q21" i="2"/>
  <c r="J28" i="3" s="1"/>
  <c r="P21" i="2"/>
  <c r="I28" i="3" s="1"/>
  <c r="O21" i="2"/>
  <c r="N21" i="2"/>
  <c r="N20" i="2" s="1"/>
  <c r="M21" i="2"/>
  <c r="U20" i="2"/>
  <c r="S20" i="2"/>
  <c r="Q20" i="2"/>
  <c r="O20" i="2"/>
  <c r="M20" i="2"/>
  <c r="Q19" i="2"/>
  <c r="P19" i="2"/>
  <c r="U18" i="2"/>
  <c r="T18" i="2"/>
  <c r="S18" i="2"/>
  <c r="R18" i="2"/>
  <c r="Q18" i="2"/>
  <c r="P18" i="2"/>
  <c r="O18" i="2"/>
  <c r="N18" i="2"/>
  <c r="U17" i="2"/>
  <c r="T17" i="2"/>
  <c r="S17" i="2"/>
  <c r="R17" i="2"/>
  <c r="Q17" i="2"/>
  <c r="P17" i="2"/>
  <c r="O17" i="2"/>
  <c r="N17" i="2"/>
  <c r="M17" i="2"/>
  <c r="J19" i="1"/>
  <c r="H19" i="1"/>
  <c r="O18" i="1"/>
  <c r="N18" i="1"/>
  <c r="M18" i="1"/>
  <c r="L18" i="1"/>
  <c r="K18" i="1"/>
  <c r="J18" i="1"/>
  <c r="I18" i="1"/>
  <c r="J17" i="1"/>
  <c r="I17" i="1"/>
  <c r="H17" i="1"/>
  <c r="O16" i="1"/>
  <c r="N16" i="1"/>
  <c r="M16" i="1"/>
  <c r="L16" i="1"/>
  <c r="K16" i="1"/>
  <c r="J16" i="1"/>
  <c r="I16" i="1"/>
  <c r="J26" i="3" l="1"/>
  <c r="J25" i="3" s="1"/>
  <c r="N26" i="3"/>
  <c r="N25" i="3" s="1"/>
  <c r="N16" i="2"/>
  <c r="N15" i="2" s="1"/>
  <c r="I26" i="3"/>
  <c r="I25" i="3" s="1"/>
  <c r="K26" i="3"/>
  <c r="K25" i="3" s="1"/>
  <c r="K20" i="3"/>
  <c r="K18" i="3" s="1"/>
  <c r="K17" i="3" s="1"/>
  <c r="M16" i="2"/>
  <c r="J52" i="3"/>
  <c r="J50" i="3" s="1"/>
  <c r="J49" i="3" s="1"/>
  <c r="N22" i="3"/>
  <c r="P20" i="2"/>
  <c r="R20" i="2"/>
  <c r="T20" i="2"/>
  <c r="R27" i="2"/>
  <c r="Q45" i="2"/>
  <c r="Q16" i="2" s="1"/>
  <c r="Q15" i="2" s="1"/>
  <c r="S45" i="2"/>
  <c r="S16" i="2" s="1"/>
  <c r="S15" i="2" s="1"/>
  <c r="U45" i="2"/>
  <c r="U16" i="2" s="1"/>
  <c r="U15" i="2" s="1"/>
  <c r="Q53" i="2"/>
  <c r="S53" i="2"/>
  <c r="U53" i="2"/>
  <c r="P65" i="2"/>
  <c r="R65" i="2"/>
  <c r="T65" i="2"/>
  <c r="E62" i="3"/>
  <c r="E54" i="3"/>
  <c r="N50" i="3"/>
  <c r="N49" i="3" s="1"/>
  <c r="L50" i="3"/>
  <c r="L49" i="3" s="1"/>
  <c r="I50" i="3"/>
  <c r="I49" i="3" s="1"/>
  <c r="H34" i="3"/>
  <c r="H33" i="3" s="1"/>
  <c r="F34" i="3"/>
  <c r="E19" i="3"/>
  <c r="H20" i="3"/>
  <c r="E32" i="3"/>
  <c r="H25" i="3"/>
  <c r="E46" i="3"/>
  <c r="H42" i="3"/>
  <c r="H41" i="3" s="1"/>
  <c r="M50" i="3"/>
  <c r="M49" i="3" s="1"/>
  <c r="K50" i="3"/>
  <c r="K49" i="3" s="1"/>
  <c r="G34" i="3"/>
  <c r="G33" i="3" s="1"/>
  <c r="G20" i="3"/>
  <c r="G18" i="3" s="1"/>
  <c r="G17" i="3" s="1"/>
  <c r="H22" i="3"/>
  <c r="E22" i="3" s="1"/>
  <c r="E21" i="3"/>
  <c r="L20" i="3"/>
  <c r="L18" i="3" s="1"/>
  <c r="L17" i="3" s="1"/>
  <c r="F41" i="3"/>
  <c r="E41" i="3" s="1"/>
  <c r="E42" i="3"/>
  <c r="E44" i="3"/>
  <c r="F25" i="3"/>
  <c r="E25" i="3" s="1"/>
  <c r="E26" i="3"/>
  <c r="E23" i="3"/>
  <c r="H18" i="3"/>
  <c r="H17" i="3" s="1"/>
  <c r="E28" i="3"/>
  <c r="F20" i="3"/>
  <c r="F58" i="3"/>
  <c r="F49" i="3"/>
  <c r="E49" i="3" s="1"/>
  <c r="E50" i="3"/>
  <c r="F33" i="3"/>
  <c r="E61" i="3"/>
  <c r="M36" i="3"/>
  <c r="I36" i="3"/>
  <c r="I34" i="3" s="1"/>
  <c r="I33" i="3" s="1"/>
  <c r="J60" i="3"/>
  <c r="J58" i="3" s="1"/>
  <c r="J57" i="3" s="1"/>
  <c r="E52" i="3"/>
  <c r="N36" i="3"/>
  <c r="N34" i="3" s="1"/>
  <c r="N33" i="3" s="1"/>
  <c r="J36" i="3"/>
  <c r="J34" i="3" s="1"/>
  <c r="J33" i="3" s="1"/>
  <c r="R16" i="2" l="1"/>
  <c r="R15" i="2" s="1"/>
  <c r="N20" i="3"/>
  <c r="N18" i="3" s="1"/>
  <c r="N17" i="3" s="1"/>
  <c r="J20" i="3"/>
  <c r="J18" i="3" s="1"/>
  <c r="J17" i="3" s="1"/>
  <c r="T16" i="2"/>
  <c r="T15" i="2" s="1"/>
  <c r="P16" i="2"/>
  <c r="P15" i="2" s="1"/>
  <c r="I20" i="3"/>
  <c r="I18" i="3" s="1"/>
  <c r="I17" i="3" s="1"/>
  <c r="M34" i="3"/>
  <c r="M33" i="3" s="1"/>
  <c r="M20" i="3"/>
  <c r="M18" i="3" s="1"/>
  <c r="M17" i="3" s="1"/>
  <c r="E20" i="3"/>
  <c r="F18" i="3"/>
  <c r="E58" i="3"/>
  <c r="F57" i="3"/>
  <c r="E57" i="3" s="1"/>
  <c r="E34" i="3"/>
  <c r="E36" i="3"/>
  <c r="E33" i="3"/>
  <c r="E60" i="3"/>
  <c r="E18" i="3" l="1"/>
  <c r="F17" i="3"/>
  <c r="E17" i="3" s="1"/>
</calcChain>
</file>

<file path=xl/sharedStrings.xml><?xml version="1.0" encoding="utf-8"?>
<sst xmlns="http://schemas.openxmlformats.org/spreadsheetml/2006/main" count="649" uniqueCount="202">
  <si>
    <t xml:space="preserve">Прогноз сводных показателей муниципальных заданий на оказание муниципальных услуг (выполнение работ) </t>
  </si>
  <si>
    <t>Код аналитической программной классификации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</si>
  <si>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</si>
  <si>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</si>
  <si>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</si>
  <si>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</si>
  <si>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2020 год</t>
  </si>
  <si>
    <t>МП</t>
  </si>
  <si>
    <t>Пп</t>
  </si>
  <si>
    <t>Наименование меры                                        государственного регулирования</t>
  </si>
  <si>
    <t>Показатель применения меры</t>
  </si>
  <si>
    <t>03</t>
  </si>
  <si>
    <t>938</t>
  </si>
  <si>
    <t>человек</t>
  </si>
  <si>
    <t>тыс. руб.</t>
  </si>
  <si>
    <t xml:space="preserve">единиц </t>
  </si>
  <si>
    <t>2</t>
  </si>
  <si>
    <t>1</t>
  </si>
  <si>
    <t>единиц</t>
  </si>
  <si>
    <t>Библиографическая обработка документов и создание каталогов</t>
  </si>
  <si>
    <t>Количество документов</t>
  </si>
  <si>
    <t xml:space="preserve">Количество обработанных документов </t>
  </si>
  <si>
    <t>Количество посещений</t>
  </si>
  <si>
    <t>Формирование, учет,изучение,обеспечение физического сохранения и безопасности музейных предметов,музейных коллекция</t>
  </si>
  <si>
    <t>2021 год</t>
  </si>
  <si>
    <t>Ресурсное обеспечение реализации муниципальной программы за счет средств бюджета городского округа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</si>
  <si>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</si>
  <si>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</si>
  <si>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</si>
  <si>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</si>
  <si>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ОМ</t>
  </si>
  <si>
    <t>М</t>
  </si>
  <si>
    <t>Рз</t>
  </si>
  <si>
    <t>Пр</t>
  </si>
  <si>
    <t>ЦС</t>
  </si>
  <si>
    <t>ВР</t>
  </si>
  <si>
    <t>Всего</t>
  </si>
  <si>
    <t>Управление культуры, спорта и молодежной политики Администрации города Вокткинска</t>
  </si>
  <si>
    <t>Управление культуры, спорта и молодежной политики Администрации города Воткинска</t>
  </si>
  <si>
    <t>08</t>
  </si>
  <si>
    <t>01</t>
  </si>
  <si>
    <t>02</t>
  </si>
  <si>
    <t>3</t>
  </si>
  <si>
    <t>Сохранение, использование и популяризация объектов культурного наследия</t>
  </si>
  <si>
    <t>4</t>
  </si>
  <si>
    <t>5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</si>
  <si>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</si>
  <si>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</si>
  <si>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</si>
  <si>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в том числе:</t>
  </si>
  <si>
    <t>И</t>
  </si>
  <si>
    <t>Показ кинофильмов</t>
  </si>
  <si>
    <t>2022 год</t>
  </si>
  <si>
    <t>2023 год</t>
  </si>
  <si>
    <t>2024 год</t>
  </si>
  <si>
    <t>Развитие библиотечного дела</t>
  </si>
  <si>
    <t>Библиотечное, библиографическое и информационное обслуживание пользователей библиотеки  вне стационара</t>
  </si>
  <si>
    <t>Развитие музейного дела</t>
  </si>
  <si>
    <t>Количество  мероприятий</t>
  </si>
  <si>
    <t>Организация деятельности клубных формирований и формирований самодеятельного народного творчества</t>
  </si>
  <si>
    <t>Организация и проведение культурно-массовых мероприятий</t>
  </si>
  <si>
    <t>Уплата налога на имущество организаций, земельного налога</t>
  </si>
  <si>
    <t>0310160110</t>
  </si>
  <si>
    <t>0310261620</t>
  </si>
  <si>
    <t>0320161610</t>
  </si>
  <si>
    <t>0330161600</t>
  </si>
  <si>
    <t>Создание условий для реализации муниципальной программы</t>
  </si>
  <si>
    <t>04</t>
  </si>
  <si>
    <t>0350160030</t>
  </si>
  <si>
    <t>Обеспечение финансовой работы, по средствам финансирования содержания муниципального казенного учреждения «Централизованная бухгалтерия учреждений культуры, спорта и молодежной политики» города Воткинска.</t>
  </si>
  <si>
    <t xml:space="preserve">08 </t>
  </si>
  <si>
    <t>0350260120</t>
  </si>
  <si>
    <t>Ответственный исполнитель: Управление культуры, спорта и молодежной политики Администрации города Воткинска</t>
  </si>
  <si>
    <t>ИТОГО</t>
  </si>
  <si>
    <t xml:space="preserve">Всего </t>
  </si>
  <si>
    <t>1) бюджет муниципального образования</t>
  </si>
  <si>
    <t>собственные средства бюджета муниципального образования</t>
  </si>
  <si>
    <t>средства бюджета Удмуртской Республики</t>
  </si>
  <si>
    <t>средства бюджета Российской Федерации</t>
  </si>
  <si>
    <t>2)  средства бюджетов других уровней бюджетной системы Российской Федерации, планируемые к привлечению</t>
  </si>
  <si>
    <t>3) иные источники</t>
  </si>
  <si>
    <t>-</t>
  </si>
  <si>
    <t>Организация и проведение городских культурно - массовых мероприятий</t>
  </si>
  <si>
    <t>Обеспечение деятельности муниципальных культурно - досуговых учреждений</t>
  </si>
  <si>
    <t>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оборудования.</t>
  </si>
  <si>
    <t>Обеспечение деятельности муниципальных библиотек</t>
  </si>
  <si>
    <t>Создание модельных муниципальных библиотек в рамках реализации регионального проекта «Обеспечение качественно нового уровня развития инфраструктуры культуры» «Культурная среда»</t>
  </si>
  <si>
    <t>Обеспечение деятельности муниципальных музеев</t>
  </si>
  <si>
    <t>05</t>
  </si>
  <si>
    <t>06</t>
  </si>
  <si>
    <t>Прогнозная (справочная) оценка ресурсного обеспечения  реализации муниципальной программы 
за счет всех источников финансирования</t>
  </si>
  <si>
    <t xml:space="preserve">Организация досуга и предоставление услуг организаций культуры </t>
  </si>
  <si>
    <t>Мероприятия по восстановлению (ремонту, реставрации, благоустройству) воинских захоронений на территории муниципального образования «Город Воткинск»</t>
  </si>
  <si>
    <t>Библиотечное, библиографическое и информационное обслуживание пользователей библиотеки в стационаре</t>
  </si>
  <si>
    <t>Расходы бюджета муниципального образования "Город Воткинск"  на оказание муниципальной услуги/работы</t>
  </si>
  <si>
    <t>Расходы бюджета муниципального образования  "Город Воткинск" на оказание муниципальной услуги/работы</t>
  </si>
  <si>
    <t>0350360630</t>
  </si>
  <si>
    <t>Капитальный, текущий  ремонт и реконструкция учреждений культуры</t>
  </si>
  <si>
    <t>0350561610</t>
  </si>
  <si>
    <t>03203S1610</t>
  </si>
  <si>
    <t>0350461600</t>
  </si>
  <si>
    <t>Формирование, учет, изучение,физического сохранения и безопасности фондов библиотек, включая оцифровку фондов</t>
  </si>
  <si>
    <t>Создание экспозиций (выстовок) музеев, организация выездных выстовок</t>
  </si>
  <si>
    <t>Количество клубных формирований</t>
  </si>
  <si>
    <t>2025 год</t>
  </si>
  <si>
    <t>12</t>
  </si>
  <si>
    <t>Обеспечение детских музыкальных, художественных, хореографических школ, школ искусств, училищ необходимыми инструментами, оборудованием и материалами</t>
  </si>
  <si>
    <t>Модернизация (капитальный ремонт, реконструкция) региональных и муниципальных детских школ искусств по видам искусств</t>
  </si>
  <si>
    <t>Техническое оснащение муниципальных музеев</t>
  </si>
  <si>
    <t>2026 год</t>
  </si>
  <si>
    <t>Количество выставок</t>
  </si>
  <si>
    <t>Управление жилищно-комунального хозяйства</t>
  </si>
  <si>
    <t>935</t>
  </si>
  <si>
    <t>Управление капитального строительства</t>
  </si>
  <si>
    <t>940</t>
  </si>
  <si>
    <t>240  620</t>
  </si>
  <si>
    <t>0310160119</t>
  </si>
  <si>
    <t>0310261650</t>
  </si>
  <si>
    <t>0320161650</t>
  </si>
  <si>
    <t>Модернизация библиотек в части комплектования книжных фондов муниципальных библиотек</t>
  </si>
  <si>
    <t>0320261610</t>
  </si>
  <si>
    <t>03202S1610</t>
  </si>
  <si>
    <t>03202L5190</t>
  </si>
  <si>
    <t>03202R5190</t>
  </si>
  <si>
    <t>032025519F</t>
  </si>
  <si>
    <t>03202S8620</t>
  </si>
  <si>
    <t>0320208620</t>
  </si>
  <si>
    <t>0320361610</t>
  </si>
  <si>
    <t>032036161Д</t>
  </si>
  <si>
    <t>032А154540</t>
  </si>
  <si>
    <t>032А15454F</t>
  </si>
  <si>
    <t>620</t>
  </si>
  <si>
    <t>0330161609</t>
  </si>
  <si>
    <t>033016160С</t>
  </si>
  <si>
    <t>0330561600</t>
  </si>
  <si>
    <t>033А155900</t>
  </si>
  <si>
    <t xml:space="preserve">  04</t>
  </si>
  <si>
    <t>0340162339</t>
  </si>
  <si>
    <t>0340262330</t>
  </si>
  <si>
    <t>03402R2990</t>
  </si>
  <si>
    <t>121  122  129 240</t>
  </si>
  <si>
    <t>0350160039</t>
  </si>
  <si>
    <t>121    129</t>
  </si>
  <si>
    <t xml:space="preserve">111   112   119   244    852 </t>
  </si>
  <si>
    <t>035026012Д</t>
  </si>
  <si>
    <t>610   620</t>
  </si>
  <si>
    <t>0350360620</t>
  </si>
  <si>
    <t>0350400830</t>
  </si>
  <si>
    <t>0350461620</t>
  </si>
  <si>
    <t>035046162Д</t>
  </si>
  <si>
    <t>0350461650</t>
  </si>
  <si>
    <t>0350462800</t>
  </si>
  <si>
    <t>0350460180</t>
  </si>
  <si>
    <t>0350468810</t>
  </si>
  <si>
    <t>0350408810</t>
  </si>
  <si>
    <t>03504S8810</t>
  </si>
  <si>
    <t>0350561600</t>
  </si>
  <si>
    <t>0350561620</t>
  </si>
  <si>
    <t>0350561627</t>
  </si>
  <si>
    <t>610  620</t>
  </si>
  <si>
    <t>035А125190</t>
  </si>
  <si>
    <t>035А12519S</t>
  </si>
  <si>
    <t>035А155190</t>
  </si>
  <si>
    <t>Администрация города Воткинска</t>
  </si>
  <si>
    <t>933</t>
  </si>
  <si>
    <t>Мероприятия по проведению капитального, текущего ремонта объектов муниципальной собственности</t>
  </si>
  <si>
    <t>Админисрация города Воткинска</t>
  </si>
  <si>
    <t>0340160150</t>
  </si>
  <si>
    <t>Публичный показ музейных предметов, музейных коллекций (стационар)</t>
  </si>
  <si>
    <t>Публичный показ музейных предметов, музейных коллекций (платн. стационар)</t>
  </si>
  <si>
    <t>Публичный показ музейных предметов, музейных коллекций (внестационар)</t>
  </si>
  <si>
    <t>Публичный показ музейных предметов, музейных коллекций (через Интернет)</t>
  </si>
  <si>
    <t>Количество предметов</t>
  </si>
  <si>
    <t>Количество человек</t>
  </si>
  <si>
    <t>Число зрителей</t>
  </si>
  <si>
    <t>0340262990</t>
  </si>
  <si>
    <t>240   280    620</t>
  </si>
  <si>
    <t>2027 год</t>
  </si>
  <si>
    <t>2028 год</t>
  </si>
  <si>
    <t>0310261627</t>
  </si>
  <si>
    <t>0350160037</t>
  </si>
  <si>
    <t>0340200310</t>
  </si>
  <si>
    <t>0350500310</t>
  </si>
  <si>
    <t>03202L5191</t>
  </si>
  <si>
    <t>03505L4670</t>
  </si>
  <si>
    <t>0330160170</t>
  </si>
  <si>
    <t>муниципальной программы "Развитие культуры"</t>
  </si>
  <si>
    <t>к муниципальной программе муниципального образования</t>
  </si>
  <si>
    <t xml:space="preserve"> «Город Воткинск» «Развитие культуры»</t>
  </si>
  <si>
    <t>Приложение 2 к постановлению</t>
  </si>
  <si>
    <t xml:space="preserve"> «Приложение 4</t>
  </si>
  <si>
    <t>Приложение 3 к постановлению</t>
  </si>
  <si>
    <t xml:space="preserve"> «Приложение 5</t>
  </si>
  <si>
    <t>муниципальная программа "Развитие культуры"</t>
  </si>
  <si>
    <t>Развитие культуры</t>
  </si>
  <si>
    <t>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«Развитие культуры»</t>
  </si>
  <si>
    <t>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</si>
  <si>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>Приложение 4 к постановлению</t>
  </si>
  <si>
    <t xml:space="preserve"> «Приложение 6</t>
  </si>
  <si>
    <t>».</t>
  </si>
  <si>
    <t>Администрации города Воткинска</t>
  </si>
  <si>
    <t>от 16.04.2025 №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</si>
</sst>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0" xfId="0" applyFont="1" applyFill="1"/>
    <xf numFmtId="0" fontId="3" fillId="0" borderId="0" xfId="0" applyFont="1"/>
    <xf numFmtId="0" fontId="4" fillId="0" borderId="0" xfId="0" applyFont="1" applyFill="1"/>
    <xf numFmtId="0" fontId="5" fillId="0" borderId="0" xfId="0" applyFont="1" applyFill="1" applyAlignment="1">
      <alignment horizontal="center"/>
    </xf>
    <xf numFmtId="164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/>
    <xf numFmtId="164" fontId="0" fillId="0" borderId="0" xfId="0" applyNumberFormat="1"/>
    <xf numFmtId="0" fontId="9" fillId="0" borderId="0" xfId="0" applyFont="1" applyAlignment="1">
      <alignment horizontal="center" vertical="center"/>
    </xf>
    <xf numFmtId="164" fontId="10" fillId="0" borderId="0" xfId="0" applyNumberFormat="1" applyFont="1"/>
    <xf numFmtId="0" fontId="8" fillId="0" borderId="0" xfId="0" applyFont="1" applyFill="1"/>
    <xf numFmtId="0" fontId="0" fillId="0" borderId="0" xfId="0" applyAlignment="1"/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Fill="1"/>
    <xf numFmtId="0" fontId="2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5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left" wrapText="1" indent="3"/>
    </xf>
    <xf numFmtId="164" fontId="4" fillId="2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0" xfId="0" applyNumberFormat="1" applyAlignment="1">
      <alignment horizontal="right"/>
    </xf>
    <xf numFmtId="0" fontId="0" fillId="0" borderId="0" xfId="0" applyBorder="1"/>
    <xf numFmtId="0" fontId="0" fillId="0" borderId="0" xfId="0"/>
    <xf numFmtId="0" fontId="3" fillId="0" borderId="0" xfId="0" applyNumberFormat="1" applyFont="1" applyFill="1" applyAlignment="1">
      <alignment horizontal="right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NumberFormat="1" applyFont="1" applyFill="1" applyAlignment="1">
      <alignment horizontal="right"/>
    </xf>
    <xf numFmtId="0" fontId="22" fillId="0" borderId="0" xfId="0" applyFont="1" applyFill="1" applyAlignment="1">
      <alignment horizontal="center"/>
    </xf>
    <xf numFmtId="0" fontId="2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0" xfId="0" applyNumberFormat="1" applyFont="1" applyFill="1" applyAlignment="1">
      <alignment horizontal="right" vertical="top" wrapText="1"/>
    </xf>
    <xf numFmtId="0" fontId="12" fillId="0" borderId="0" xfId="0" applyFont="1" applyFill="1"/>
    <xf numFmtId="0" fontId="26" fillId="0" borderId="0" xfId="0" applyFont="1" applyAlignment="1">
      <alignment horizontal="center"/>
    </xf>
    <xf numFmtId="0" fontId="15" fillId="0" borderId="0" xfId="0" applyFont="1" applyFill="1"/>
    <xf numFmtId="0" fontId="18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0" fillId="0" borderId="0" xfId="0"/>
    <xf numFmtId="0" fontId="1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/>
    <xf numFmtId="0" fontId="2" fillId="0" borderId="0" xfId="0" applyFont="1" applyFill="1" applyAlignment="1">
      <alignment horizontal="right"/>
    </xf>
    <xf numFmtId="49" fontId="4" fillId="0" borderId="3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20" fillId="0" borderId="3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21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164" fontId="23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4" fontId="0" fillId="0" borderId="0" xfId="0" applyNumberFormat="1" applyFill="1"/>
    <xf numFmtId="0" fontId="0" fillId="0" borderId="0" xfId="0"/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top"/>
    </xf>
    <xf numFmtId="0" fontId="23" fillId="0" borderId="0" xfId="0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horizontal="center"/>
    </xf>
    <xf numFmtId="0" fontId="21" fillId="0" borderId="0" xfId="0" applyFont="1"/>
    <xf numFmtId="0" fontId="23" fillId="0" borderId="0" xfId="0" applyFont="1"/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21" fillId="0" borderId="0" xfId="0" applyFont="1" applyBorder="1"/>
    <xf numFmtId="0" fontId="27" fillId="0" borderId="0" xfId="0" applyFont="1"/>
    <xf numFmtId="0" fontId="27" fillId="0" borderId="0" xfId="0" applyFont="1" applyFill="1"/>
    <xf numFmtId="164" fontId="21" fillId="0" borderId="0" xfId="0" applyNumberFormat="1" applyFont="1" applyFill="1"/>
    <xf numFmtId="164" fontId="21" fillId="0" borderId="0" xfId="0" applyNumberFormat="1" applyFont="1"/>
    <xf numFmtId="164" fontId="21" fillId="0" borderId="0" xfId="0" applyNumberFormat="1" applyFont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164" fontId="24" fillId="0" borderId="1" xfId="0" applyNumberFormat="1" applyFont="1" applyFill="1" applyBorder="1" applyAlignment="1">
      <alignment horizontal="center" vertical="top"/>
    </xf>
    <xf numFmtId="164" fontId="23" fillId="0" borderId="1" xfId="0" applyNumberFormat="1" applyFont="1" applyFill="1" applyBorder="1" applyAlignment="1">
      <alignment horizontal="center" vertical="top"/>
    </xf>
    <xf numFmtId="164" fontId="23" fillId="4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7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top"/>
    </xf>
    <xf numFmtId="49" fontId="20" fillId="0" borderId="2" xfId="0" applyNumberFormat="1" applyFont="1" applyFill="1" applyBorder="1" applyAlignment="1">
      <alignment horizontal="center" vertical="top"/>
    </xf>
    <xf numFmtId="49" fontId="20" fillId="0" borderId="3" xfId="0" applyNumberFormat="1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left" vertical="center" wrapText="1"/>
    </xf>
    <xf numFmtId="49" fontId="20" fillId="0" borderId="7" xfId="0" applyNumberFormat="1" applyFont="1" applyFill="1" applyBorder="1" applyAlignment="1">
      <alignment horizontal="center" vertical="top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NumberFormat="1" applyFont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7" xfId="0" applyNumberFormat="1" applyFont="1" applyFill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50;&#1091;&#1083;&#1100;&#1090;&#1091;&#1088;&#1072;%20&#1087;&#1088;&#1080;&#1083;&#1086;&#1078;&#1077;&#1085;&#1080;&#1103;%204,5,6%202022,2023,2024,%202025%20&#1075;&#1086;&#1076;&#1099;%20(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4"/>
      <sheetName val="Приложение5+"/>
      <sheetName val="Приложение6+"/>
    </sheetNames>
    <sheetDataSet>
      <sheetData sheetId="0" refreshError="1"/>
      <sheetData sheetId="1" refreshError="1">
        <row r="20">
          <cell r="M20">
            <v>78909</v>
          </cell>
          <cell r="N20">
            <v>79327.899999999994</v>
          </cell>
          <cell r="O20">
            <v>81588.120320000002</v>
          </cell>
        </row>
        <row r="26">
          <cell r="M26">
            <v>30365.8</v>
          </cell>
          <cell r="N26">
            <v>38223.79</v>
          </cell>
        </row>
        <row r="27">
          <cell r="O27">
            <v>27052.082999999999</v>
          </cell>
        </row>
        <row r="31">
          <cell r="O31">
            <v>0</v>
          </cell>
        </row>
        <row r="32">
          <cell r="P32">
            <v>399.23847999999998</v>
          </cell>
        </row>
        <row r="33">
          <cell r="O33">
            <v>399.98200000000003</v>
          </cell>
        </row>
        <row r="36">
          <cell r="M36">
            <v>399.2</v>
          </cell>
          <cell r="O36">
            <v>0</v>
          </cell>
          <cell r="S36">
            <v>0</v>
          </cell>
        </row>
        <row r="39">
          <cell r="O39">
            <v>360</v>
          </cell>
        </row>
        <row r="43">
          <cell r="M43">
            <v>7686</v>
          </cell>
          <cell r="N43">
            <v>9376.3799999999992</v>
          </cell>
        </row>
        <row r="44">
          <cell r="O44">
            <v>8566.4872500000001</v>
          </cell>
        </row>
        <row r="48">
          <cell r="O48">
            <v>3064.471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</row>
        <row r="49">
          <cell r="O49">
            <v>319</v>
          </cell>
        </row>
        <row r="50">
          <cell r="M50">
            <v>0.7</v>
          </cell>
          <cell r="N50">
            <v>0</v>
          </cell>
        </row>
        <row r="51">
          <cell r="M51">
            <v>460</v>
          </cell>
        </row>
        <row r="57">
          <cell r="N57">
            <v>64735.700000000004</v>
          </cell>
          <cell r="O57">
            <v>22652.279020000002</v>
          </cell>
        </row>
        <row r="66">
          <cell r="M66">
            <v>1450</v>
          </cell>
        </row>
        <row r="83">
          <cell r="O83">
            <v>8802.69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</row>
        <row r="86">
          <cell r="O86">
            <v>8080.8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</row>
      </sheetData>
      <sheetData sheetId="2" refreshError="1">
        <row r="36">
          <cell r="G36">
            <v>2050.9</v>
          </cell>
        </row>
        <row r="37">
          <cell r="G37">
            <v>12217.1</v>
          </cell>
        </row>
        <row r="60">
          <cell r="G60">
            <v>22638.39</v>
          </cell>
        </row>
        <row r="61">
          <cell r="G61">
            <v>32563.599999999999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27"/>
  <sheetViews>
    <sheetView topLeftCell="D1" workbookViewId="0">
      <selection activeCell="O4" sqref="O4"/>
    </sheetView>
  </sheetViews>
  <sheetFormatPr defaultRowHeight="14.4" x14ac:dyDescent="0.3"/>
  <cols>
    <col min="1" max="1" width="5.109375" customWidth="1"/>
    <col min="2" max="2" width="6.5546875" customWidth="1"/>
    <col min="3" max="3" width="5.44140625" customWidth="1"/>
    <col min="4" max="4" width="22.33203125" customWidth="1"/>
    <col min="5" max="5" width="38.88671875" customWidth="1"/>
    <col min="6" max="6" width="9.33203125" customWidth="1"/>
    <col min="7" max="7" width="9.44140625" customWidth="1"/>
    <col min="8" max="8" width="10.6640625" style="9" customWidth="1"/>
    <col min="9" max="9" width="10.6640625" style="13" customWidth="1"/>
    <col min="10" max="10" width="10.6640625" customWidth="1"/>
    <col min="11" max="11" width="12.44140625" style="17" customWidth="1"/>
    <col min="13" max="14" width="9.109375" style="106"/>
    <col min="258" max="258" width="5.109375" customWidth="1"/>
    <col min="259" max="259" width="4.109375" customWidth="1"/>
    <col min="260" max="260" width="5.44140625" customWidth="1"/>
    <col min="261" max="261" width="22.33203125" customWidth="1"/>
    <col min="262" max="262" width="38.88671875" customWidth="1"/>
    <col min="263" max="263" width="9.33203125" customWidth="1"/>
    <col min="264" max="268" width="10.6640625" customWidth="1"/>
    <col min="514" max="514" width="5.109375" customWidth="1"/>
    <col min="515" max="515" width="4.109375" customWidth="1"/>
    <col min="516" max="516" width="5.44140625" customWidth="1"/>
    <col min="517" max="517" width="22.33203125" customWidth="1"/>
    <col min="518" max="518" width="38.88671875" customWidth="1"/>
    <col min="519" max="519" width="9.33203125" customWidth="1"/>
    <col min="520" max="524" width="10.6640625" customWidth="1"/>
    <col min="770" max="770" width="5.109375" customWidth="1"/>
    <col min="771" max="771" width="4.109375" customWidth="1"/>
    <col min="772" max="772" width="5.44140625" customWidth="1"/>
    <col min="773" max="773" width="22.33203125" customWidth="1"/>
    <col min="774" max="774" width="38.88671875" customWidth="1"/>
    <col min="775" max="775" width="9.33203125" customWidth="1"/>
    <col min="776" max="780" width="10.6640625" customWidth="1"/>
    <col min="1026" max="1026" width="5.109375" customWidth="1"/>
    <col min="1027" max="1027" width="4.109375" customWidth="1"/>
    <col min="1028" max="1028" width="5.44140625" customWidth="1"/>
    <col min="1029" max="1029" width="22.33203125" customWidth="1"/>
    <col min="1030" max="1030" width="38.88671875" customWidth="1"/>
    <col min="1031" max="1031" width="9.33203125" customWidth="1"/>
    <col min="1032" max="1036" width="10.6640625" customWidth="1"/>
    <col min="1282" max="1282" width="5.109375" customWidth="1"/>
    <col min="1283" max="1283" width="4.109375" customWidth="1"/>
    <col min="1284" max="1284" width="5.44140625" customWidth="1"/>
    <col min="1285" max="1285" width="22.33203125" customWidth="1"/>
    <col min="1286" max="1286" width="38.88671875" customWidth="1"/>
    <col min="1287" max="1287" width="9.33203125" customWidth="1"/>
    <col min="1288" max="1292" width="10.6640625" customWidth="1"/>
    <col min="1538" max="1538" width="5.109375" customWidth="1"/>
    <col min="1539" max="1539" width="4.109375" customWidth="1"/>
    <col min="1540" max="1540" width="5.44140625" customWidth="1"/>
    <col min="1541" max="1541" width="22.33203125" customWidth="1"/>
    <col min="1542" max="1542" width="38.88671875" customWidth="1"/>
    <col min="1543" max="1543" width="9.33203125" customWidth="1"/>
    <col min="1544" max="1548" width="10.6640625" customWidth="1"/>
    <col min="1794" max="1794" width="5.109375" customWidth="1"/>
    <col min="1795" max="1795" width="4.109375" customWidth="1"/>
    <col min="1796" max="1796" width="5.44140625" customWidth="1"/>
    <col min="1797" max="1797" width="22.33203125" customWidth="1"/>
    <col min="1798" max="1798" width="38.88671875" customWidth="1"/>
    <col min="1799" max="1799" width="9.33203125" customWidth="1"/>
    <col min="1800" max="1804" width="10.6640625" customWidth="1"/>
    <col min="2050" max="2050" width="5.109375" customWidth="1"/>
    <col min="2051" max="2051" width="4.109375" customWidth="1"/>
    <col min="2052" max="2052" width="5.44140625" customWidth="1"/>
    <col min="2053" max="2053" width="22.33203125" customWidth="1"/>
    <col min="2054" max="2054" width="38.88671875" customWidth="1"/>
    <col min="2055" max="2055" width="9.33203125" customWidth="1"/>
    <col min="2056" max="2060" width="10.6640625" customWidth="1"/>
    <col min="2306" max="2306" width="5.109375" customWidth="1"/>
    <col min="2307" max="2307" width="4.109375" customWidth="1"/>
    <col min="2308" max="2308" width="5.44140625" customWidth="1"/>
    <col min="2309" max="2309" width="22.33203125" customWidth="1"/>
    <col min="2310" max="2310" width="38.88671875" customWidth="1"/>
    <col min="2311" max="2311" width="9.33203125" customWidth="1"/>
    <col min="2312" max="2316" width="10.6640625" customWidth="1"/>
    <col min="2562" max="2562" width="5.109375" customWidth="1"/>
    <col min="2563" max="2563" width="4.109375" customWidth="1"/>
    <col min="2564" max="2564" width="5.44140625" customWidth="1"/>
    <col min="2565" max="2565" width="22.33203125" customWidth="1"/>
    <col min="2566" max="2566" width="38.88671875" customWidth="1"/>
    <col min="2567" max="2567" width="9.33203125" customWidth="1"/>
    <col min="2568" max="2572" width="10.6640625" customWidth="1"/>
    <col min="2818" max="2818" width="5.109375" customWidth="1"/>
    <col min="2819" max="2819" width="4.109375" customWidth="1"/>
    <col min="2820" max="2820" width="5.44140625" customWidth="1"/>
    <col min="2821" max="2821" width="22.33203125" customWidth="1"/>
    <col min="2822" max="2822" width="38.88671875" customWidth="1"/>
    <col min="2823" max="2823" width="9.33203125" customWidth="1"/>
    <col min="2824" max="2828" width="10.6640625" customWidth="1"/>
    <col min="3074" max="3074" width="5.109375" customWidth="1"/>
    <col min="3075" max="3075" width="4.109375" customWidth="1"/>
    <col min="3076" max="3076" width="5.44140625" customWidth="1"/>
    <col min="3077" max="3077" width="22.33203125" customWidth="1"/>
    <col min="3078" max="3078" width="38.88671875" customWidth="1"/>
    <col min="3079" max="3079" width="9.33203125" customWidth="1"/>
    <col min="3080" max="3084" width="10.6640625" customWidth="1"/>
    <col min="3330" max="3330" width="5.109375" customWidth="1"/>
    <col min="3331" max="3331" width="4.109375" customWidth="1"/>
    <col min="3332" max="3332" width="5.44140625" customWidth="1"/>
    <col min="3333" max="3333" width="22.33203125" customWidth="1"/>
    <col min="3334" max="3334" width="38.88671875" customWidth="1"/>
    <col min="3335" max="3335" width="9.33203125" customWidth="1"/>
    <col min="3336" max="3340" width="10.6640625" customWidth="1"/>
    <col min="3586" max="3586" width="5.109375" customWidth="1"/>
    <col min="3587" max="3587" width="4.109375" customWidth="1"/>
    <col min="3588" max="3588" width="5.44140625" customWidth="1"/>
    <col min="3589" max="3589" width="22.33203125" customWidth="1"/>
    <col min="3590" max="3590" width="38.88671875" customWidth="1"/>
    <col min="3591" max="3591" width="9.33203125" customWidth="1"/>
    <col min="3592" max="3596" width="10.6640625" customWidth="1"/>
    <col min="3842" max="3842" width="5.109375" customWidth="1"/>
    <col min="3843" max="3843" width="4.109375" customWidth="1"/>
    <col min="3844" max="3844" width="5.44140625" customWidth="1"/>
    <col min="3845" max="3845" width="22.33203125" customWidth="1"/>
    <col min="3846" max="3846" width="38.88671875" customWidth="1"/>
    <col min="3847" max="3847" width="9.33203125" customWidth="1"/>
    <col min="3848" max="3852" width="10.6640625" customWidth="1"/>
    <col min="4098" max="4098" width="5.109375" customWidth="1"/>
    <col min="4099" max="4099" width="4.109375" customWidth="1"/>
    <col min="4100" max="4100" width="5.44140625" customWidth="1"/>
    <col min="4101" max="4101" width="22.33203125" customWidth="1"/>
    <col min="4102" max="4102" width="38.88671875" customWidth="1"/>
    <col min="4103" max="4103" width="9.33203125" customWidth="1"/>
    <col min="4104" max="4108" width="10.6640625" customWidth="1"/>
    <col min="4354" max="4354" width="5.109375" customWidth="1"/>
    <col min="4355" max="4355" width="4.109375" customWidth="1"/>
    <col min="4356" max="4356" width="5.44140625" customWidth="1"/>
    <col min="4357" max="4357" width="22.33203125" customWidth="1"/>
    <col min="4358" max="4358" width="38.88671875" customWidth="1"/>
    <col min="4359" max="4359" width="9.33203125" customWidth="1"/>
    <col min="4360" max="4364" width="10.6640625" customWidth="1"/>
    <col min="4610" max="4610" width="5.109375" customWidth="1"/>
    <col min="4611" max="4611" width="4.109375" customWidth="1"/>
    <col min="4612" max="4612" width="5.44140625" customWidth="1"/>
    <col min="4613" max="4613" width="22.33203125" customWidth="1"/>
    <col min="4614" max="4614" width="38.88671875" customWidth="1"/>
    <col min="4615" max="4615" width="9.33203125" customWidth="1"/>
    <col min="4616" max="4620" width="10.6640625" customWidth="1"/>
    <col min="4866" max="4866" width="5.109375" customWidth="1"/>
    <col min="4867" max="4867" width="4.109375" customWidth="1"/>
    <col min="4868" max="4868" width="5.44140625" customWidth="1"/>
    <col min="4869" max="4869" width="22.33203125" customWidth="1"/>
    <col min="4870" max="4870" width="38.88671875" customWidth="1"/>
    <col min="4871" max="4871" width="9.33203125" customWidth="1"/>
    <col min="4872" max="4876" width="10.6640625" customWidth="1"/>
    <col min="5122" max="5122" width="5.109375" customWidth="1"/>
    <col min="5123" max="5123" width="4.109375" customWidth="1"/>
    <col min="5124" max="5124" width="5.44140625" customWidth="1"/>
    <col min="5125" max="5125" width="22.33203125" customWidth="1"/>
    <col min="5126" max="5126" width="38.88671875" customWidth="1"/>
    <col min="5127" max="5127" width="9.33203125" customWidth="1"/>
    <col min="5128" max="5132" width="10.6640625" customWidth="1"/>
    <col min="5378" max="5378" width="5.109375" customWidth="1"/>
    <col min="5379" max="5379" width="4.109375" customWidth="1"/>
    <col min="5380" max="5380" width="5.44140625" customWidth="1"/>
    <col min="5381" max="5381" width="22.33203125" customWidth="1"/>
    <col min="5382" max="5382" width="38.88671875" customWidth="1"/>
    <col min="5383" max="5383" width="9.33203125" customWidth="1"/>
    <col min="5384" max="5388" width="10.6640625" customWidth="1"/>
    <col min="5634" max="5634" width="5.109375" customWidth="1"/>
    <col min="5635" max="5635" width="4.109375" customWidth="1"/>
    <col min="5636" max="5636" width="5.44140625" customWidth="1"/>
    <col min="5637" max="5637" width="22.33203125" customWidth="1"/>
    <col min="5638" max="5638" width="38.88671875" customWidth="1"/>
    <col min="5639" max="5639" width="9.33203125" customWidth="1"/>
    <col min="5640" max="5644" width="10.6640625" customWidth="1"/>
    <col min="5890" max="5890" width="5.109375" customWidth="1"/>
    <col min="5891" max="5891" width="4.109375" customWidth="1"/>
    <col min="5892" max="5892" width="5.44140625" customWidth="1"/>
    <col min="5893" max="5893" width="22.33203125" customWidth="1"/>
    <col min="5894" max="5894" width="38.88671875" customWidth="1"/>
    <col min="5895" max="5895" width="9.33203125" customWidth="1"/>
    <col min="5896" max="5900" width="10.6640625" customWidth="1"/>
    <col min="6146" max="6146" width="5.109375" customWidth="1"/>
    <col min="6147" max="6147" width="4.109375" customWidth="1"/>
    <col min="6148" max="6148" width="5.44140625" customWidth="1"/>
    <col min="6149" max="6149" width="22.33203125" customWidth="1"/>
    <col min="6150" max="6150" width="38.88671875" customWidth="1"/>
    <col min="6151" max="6151" width="9.33203125" customWidth="1"/>
    <col min="6152" max="6156" width="10.6640625" customWidth="1"/>
    <col min="6402" max="6402" width="5.109375" customWidth="1"/>
    <col min="6403" max="6403" width="4.109375" customWidth="1"/>
    <col min="6404" max="6404" width="5.44140625" customWidth="1"/>
    <col min="6405" max="6405" width="22.33203125" customWidth="1"/>
    <col min="6406" max="6406" width="38.88671875" customWidth="1"/>
    <col min="6407" max="6407" width="9.33203125" customWidth="1"/>
    <col min="6408" max="6412" width="10.6640625" customWidth="1"/>
    <col min="6658" max="6658" width="5.109375" customWidth="1"/>
    <col min="6659" max="6659" width="4.109375" customWidth="1"/>
    <col min="6660" max="6660" width="5.44140625" customWidth="1"/>
    <col min="6661" max="6661" width="22.33203125" customWidth="1"/>
    <col min="6662" max="6662" width="38.88671875" customWidth="1"/>
    <col min="6663" max="6663" width="9.33203125" customWidth="1"/>
    <col min="6664" max="6668" width="10.6640625" customWidth="1"/>
    <col min="6914" max="6914" width="5.109375" customWidth="1"/>
    <col min="6915" max="6915" width="4.109375" customWidth="1"/>
    <col min="6916" max="6916" width="5.44140625" customWidth="1"/>
    <col min="6917" max="6917" width="22.33203125" customWidth="1"/>
    <col min="6918" max="6918" width="38.88671875" customWidth="1"/>
    <col min="6919" max="6919" width="9.33203125" customWidth="1"/>
    <col min="6920" max="6924" width="10.6640625" customWidth="1"/>
    <col min="7170" max="7170" width="5.109375" customWidth="1"/>
    <col min="7171" max="7171" width="4.109375" customWidth="1"/>
    <col min="7172" max="7172" width="5.44140625" customWidth="1"/>
    <col min="7173" max="7173" width="22.33203125" customWidth="1"/>
    <col min="7174" max="7174" width="38.88671875" customWidth="1"/>
    <col min="7175" max="7175" width="9.33203125" customWidth="1"/>
    <col min="7176" max="7180" width="10.6640625" customWidth="1"/>
    <col min="7426" max="7426" width="5.109375" customWidth="1"/>
    <col min="7427" max="7427" width="4.109375" customWidth="1"/>
    <col min="7428" max="7428" width="5.44140625" customWidth="1"/>
    <col min="7429" max="7429" width="22.33203125" customWidth="1"/>
    <col min="7430" max="7430" width="38.88671875" customWidth="1"/>
    <col min="7431" max="7431" width="9.33203125" customWidth="1"/>
    <col min="7432" max="7436" width="10.6640625" customWidth="1"/>
    <col min="7682" max="7682" width="5.109375" customWidth="1"/>
    <col min="7683" max="7683" width="4.109375" customWidth="1"/>
    <col min="7684" max="7684" width="5.44140625" customWidth="1"/>
    <col min="7685" max="7685" width="22.33203125" customWidth="1"/>
    <col min="7686" max="7686" width="38.88671875" customWidth="1"/>
    <col min="7687" max="7687" width="9.33203125" customWidth="1"/>
    <col min="7688" max="7692" width="10.6640625" customWidth="1"/>
    <col min="7938" max="7938" width="5.109375" customWidth="1"/>
    <col min="7939" max="7939" width="4.109375" customWidth="1"/>
    <col min="7940" max="7940" width="5.44140625" customWidth="1"/>
    <col min="7941" max="7941" width="22.33203125" customWidth="1"/>
    <col min="7942" max="7942" width="38.88671875" customWidth="1"/>
    <col min="7943" max="7943" width="9.33203125" customWidth="1"/>
    <col min="7944" max="7948" width="10.6640625" customWidth="1"/>
    <col min="8194" max="8194" width="5.109375" customWidth="1"/>
    <col min="8195" max="8195" width="4.109375" customWidth="1"/>
    <col min="8196" max="8196" width="5.44140625" customWidth="1"/>
    <col min="8197" max="8197" width="22.33203125" customWidth="1"/>
    <col min="8198" max="8198" width="38.88671875" customWidth="1"/>
    <col min="8199" max="8199" width="9.33203125" customWidth="1"/>
    <col min="8200" max="8204" width="10.6640625" customWidth="1"/>
    <col min="8450" max="8450" width="5.109375" customWidth="1"/>
    <col min="8451" max="8451" width="4.109375" customWidth="1"/>
    <col min="8452" max="8452" width="5.44140625" customWidth="1"/>
    <col min="8453" max="8453" width="22.33203125" customWidth="1"/>
    <col min="8454" max="8454" width="38.88671875" customWidth="1"/>
    <col min="8455" max="8455" width="9.33203125" customWidth="1"/>
    <col min="8456" max="8460" width="10.6640625" customWidth="1"/>
    <col min="8706" max="8706" width="5.109375" customWidth="1"/>
    <col min="8707" max="8707" width="4.109375" customWidth="1"/>
    <col min="8708" max="8708" width="5.44140625" customWidth="1"/>
    <col min="8709" max="8709" width="22.33203125" customWidth="1"/>
    <col min="8710" max="8710" width="38.88671875" customWidth="1"/>
    <col min="8711" max="8711" width="9.33203125" customWidth="1"/>
    <col min="8712" max="8716" width="10.6640625" customWidth="1"/>
    <col min="8962" max="8962" width="5.109375" customWidth="1"/>
    <col min="8963" max="8963" width="4.109375" customWidth="1"/>
    <col min="8964" max="8964" width="5.44140625" customWidth="1"/>
    <col min="8965" max="8965" width="22.33203125" customWidth="1"/>
    <col min="8966" max="8966" width="38.88671875" customWidth="1"/>
    <col min="8967" max="8967" width="9.33203125" customWidth="1"/>
    <col min="8968" max="8972" width="10.6640625" customWidth="1"/>
    <col min="9218" max="9218" width="5.109375" customWidth="1"/>
    <col min="9219" max="9219" width="4.109375" customWidth="1"/>
    <col min="9220" max="9220" width="5.44140625" customWidth="1"/>
    <col min="9221" max="9221" width="22.33203125" customWidth="1"/>
    <col min="9222" max="9222" width="38.88671875" customWidth="1"/>
    <col min="9223" max="9223" width="9.33203125" customWidth="1"/>
    <col min="9224" max="9228" width="10.6640625" customWidth="1"/>
    <col min="9474" max="9474" width="5.109375" customWidth="1"/>
    <col min="9475" max="9475" width="4.109375" customWidth="1"/>
    <col min="9476" max="9476" width="5.44140625" customWidth="1"/>
    <col min="9477" max="9477" width="22.33203125" customWidth="1"/>
    <col min="9478" max="9478" width="38.88671875" customWidth="1"/>
    <col min="9479" max="9479" width="9.33203125" customWidth="1"/>
    <col min="9480" max="9484" width="10.6640625" customWidth="1"/>
    <col min="9730" max="9730" width="5.109375" customWidth="1"/>
    <col min="9731" max="9731" width="4.109375" customWidth="1"/>
    <col min="9732" max="9732" width="5.44140625" customWidth="1"/>
    <col min="9733" max="9733" width="22.33203125" customWidth="1"/>
    <col min="9734" max="9734" width="38.88671875" customWidth="1"/>
    <col min="9735" max="9735" width="9.33203125" customWidth="1"/>
    <col min="9736" max="9740" width="10.6640625" customWidth="1"/>
    <col min="9986" max="9986" width="5.109375" customWidth="1"/>
    <col min="9987" max="9987" width="4.109375" customWidth="1"/>
    <col min="9988" max="9988" width="5.44140625" customWidth="1"/>
    <col min="9989" max="9989" width="22.33203125" customWidth="1"/>
    <col min="9990" max="9990" width="38.88671875" customWidth="1"/>
    <col min="9991" max="9991" width="9.33203125" customWidth="1"/>
    <col min="9992" max="9996" width="10.6640625" customWidth="1"/>
    <col min="10242" max="10242" width="5.109375" customWidth="1"/>
    <col min="10243" max="10243" width="4.109375" customWidth="1"/>
    <col min="10244" max="10244" width="5.44140625" customWidth="1"/>
    <col min="10245" max="10245" width="22.33203125" customWidth="1"/>
    <col min="10246" max="10246" width="38.88671875" customWidth="1"/>
    <col min="10247" max="10247" width="9.33203125" customWidth="1"/>
    <col min="10248" max="10252" width="10.6640625" customWidth="1"/>
    <col min="10498" max="10498" width="5.109375" customWidth="1"/>
    <col min="10499" max="10499" width="4.109375" customWidth="1"/>
    <col min="10500" max="10500" width="5.44140625" customWidth="1"/>
    <col min="10501" max="10501" width="22.33203125" customWidth="1"/>
    <col min="10502" max="10502" width="38.88671875" customWidth="1"/>
    <col min="10503" max="10503" width="9.33203125" customWidth="1"/>
    <col min="10504" max="10508" width="10.6640625" customWidth="1"/>
    <col min="10754" max="10754" width="5.109375" customWidth="1"/>
    <col min="10755" max="10755" width="4.109375" customWidth="1"/>
    <col min="10756" max="10756" width="5.44140625" customWidth="1"/>
    <col min="10757" max="10757" width="22.33203125" customWidth="1"/>
    <col min="10758" max="10758" width="38.88671875" customWidth="1"/>
    <col min="10759" max="10759" width="9.33203125" customWidth="1"/>
    <col min="10760" max="10764" width="10.6640625" customWidth="1"/>
    <col min="11010" max="11010" width="5.109375" customWidth="1"/>
    <col min="11011" max="11011" width="4.109375" customWidth="1"/>
    <col min="11012" max="11012" width="5.44140625" customWidth="1"/>
    <col min="11013" max="11013" width="22.33203125" customWidth="1"/>
    <col min="11014" max="11014" width="38.88671875" customWidth="1"/>
    <col min="11015" max="11015" width="9.33203125" customWidth="1"/>
    <col min="11016" max="11020" width="10.6640625" customWidth="1"/>
    <col min="11266" max="11266" width="5.109375" customWidth="1"/>
    <col min="11267" max="11267" width="4.109375" customWidth="1"/>
    <col min="11268" max="11268" width="5.44140625" customWidth="1"/>
    <col min="11269" max="11269" width="22.33203125" customWidth="1"/>
    <col min="11270" max="11270" width="38.88671875" customWidth="1"/>
    <col min="11271" max="11271" width="9.33203125" customWidth="1"/>
    <col min="11272" max="11276" width="10.6640625" customWidth="1"/>
    <col min="11522" max="11522" width="5.109375" customWidth="1"/>
    <col min="11523" max="11523" width="4.109375" customWidth="1"/>
    <col min="11524" max="11524" width="5.44140625" customWidth="1"/>
    <col min="11525" max="11525" width="22.33203125" customWidth="1"/>
    <col min="11526" max="11526" width="38.88671875" customWidth="1"/>
    <col min="11527" max="11527" width="9.33203125" customWidth="1"/>
    <col min="11528" max="11532" width="10.6640625" customWidth="1"/>
    <col min="11778" max="11778" width="5.109375" customWidth="1"/>
    <col min="11779" max="11779" width="4.109375" customWidth="1"/>
    <col min="11780" max="11780" width="5.44140625" customWidth="1"/>
    <col min="11781" max="11781" width="22.33203125" customWidth="1"/>
    <col min="11782" max="11782" width="38.88671875" customWidth="1"/>
    <col min="11783" max="11783" width="9.33203125" customWidth="1"/>
    <col min="11784" max="11788" width="10.6640625" customWidth="1"/>
    <col min="12034" max="12034" width="5.109375" customWidth="1"/>
    <col min="12035" max="12035" width="4.109375" customWidth="1"/>
    <col min="12036" max="12036" width="5.44140625" customWidth="1"/>
    <col min="12037" max="12037" width="22.33203125" customWidth="1"/>
    <col min="12038" max="12038" width="38.88671875" customWidth="1"/>
    <col min="12039" max="12039" width="9.33203125" customWidth="1"/>
    <col min="12040" max="12044" width="10.6640625" customWidth="1"/>
    <col min="12290" max="12290" width="5.109375" customWidth="1"/>
    <col min="12291" max="12291" width="4.109375" customWidth="1"/>
    <col min="12292" max="12292" width="5.44140625" customWidth="1"/>
    <col min="12293" max="12293" width="22.33203125" customWidth="1"/>
    <col min="12294" max="12294" width="38.88671875" customWidth="1"/>
    <col min="12295" max="12295" width="9.33203125" customWidth="1"/>
    <col min="12296" max="12300" width="10.6640625" customWidth="1"/>
    <col min="12546" max="12546" width="5.109375" customWidth="1"/>
    <col min="12547" max="12547" width="4.109375" customWidth="1"/>
    <col min="12548" max="12548" width="5.44140625" customWidth="1"/>
    <col min="12549" max="12549" width="22.33203125" customWidth="1"/>
    <col min="12550" max="12550" width="38.88671875" customWidth="1"/>
    <col min="12551" max="12551" width="9.33203125" customWidth="1"/>
    <col min="12552" max="12556" width="10.6640625" customWidth="1"/>
    <col min="12802" max="12802" width="5.109375" customWidth="1"/>
    <col min="12803" max="12803" width="4.109375" customWidth="1"/>
    <col min="12804" max="12804" width="5.44140625" customWidth="1"/>
    <col min="12805" max="12805" width="22.33203125" customWidth="1"/>
    <col min="12806" max="12806" width="38.88671875" customWidth="1"/>
    <col min="12807" max="12807" width="9.33203125" customWidth="1"/>
    <col min="12808" max="12812" width="10.6640625" customWidth="1"/>
    <col min="13058" max="13058" width="5.109375" customWidth="1"/>
    <col min="13059" max="13059" width="4.109375" customWidth="1"/>
    <col min="13060" max="13060" width="5.44140625" customWidth="1"/>
    <col min="13061" max="13061" width="22.33203125" customWidth="1"/>
    <col min="13062" max="13062" width="38.88671875" customWidth="1"/>
    <col min="13063" max="13063" width="9.33203125" customWidth="1"/>
    <col min="13064" max="13068" width="10.6640625" customWidth="1"/>
    <col min="13314" max="13314" width="5.109375" customWidth="1"/>
    <col min="13315" max="13315" width="4.109375" customWidth="1"/>
    <col min="13316" max="13316" width="5.44140625" customWidth="1"/>
    <col min="13317" max="13317" width="22.33203125" customWidth="1"/>
    <col min="13318" max="13318" width="38.88671875" customWidth="1"/>
    <col min="13319" max="13319" width="9.33203125" customWidth="1"/>
    <col min="13320" max="13324" width="10.6640625" customWidth="1"/>
    <col min="13570" max="13570" width="5.109375" customWidth="1"/>
    <col min="13571" max="13571" width="4.109375" customWidth="1"/>
    <col min="13572" max="13572" width="5.44140625" customWidth="1"/>
    <col min="13573" max="13573" width="22.33203125" customWidth="1"/>
    <col min="13574" max="13574" width="38.88671875" customWidth="1"/>
    <col min="13575" max="13575" width="9.33203125" customWidth="1"/>
    <col min="13576" max="13580" width="10.6640625" customWidth="1"/>
    <col min="13826" max="13826" width="5.109375" customWidth="1"/>
    <col min="13827" max="13827" width="4.109375" customWidth="1"/>
    <col min="13828" max="13828" width="5.44140625" customWidth="1"/>
    <col min="13829" max="13829" width="22.33203125" customWidth="1"/>
    <col min="13830" max="13830" width="38.88671875" customWidth="1"/>
    <col min="13831" max="13831" width="9.33203125" customWidth="1"/>
    <col min="13832" max="13836" width="10.6640625" customWidth="1"/>
    <col min="14082" max="14082" width="5.109375" customWidth="1"/>
    <col min="14083" max="14083" width="4.109375" customWidth="1"/>
    <col min="14084" max="14084" width="5.44140625" customWidth="1"/>
    <col min="14085" max="14085" width="22.33203125" customWidth="1"/>
    <col min="14086" max="14086" width="38.88671875" customWidth="1"/>
    <col min="14087" max="14087" width="9.33203125" customWidth="1"/>
    <col min="14088" max="14092" width="10.6640625" customWidth="1"/>
    <col min="14338" max="14338" width="5.109375" customWidth="1"/>
    <col min="14339" max="14339" width="4.109375" customWidth="1"/>
    <col min="14340" max="14340" width="5.44140625" customWidth="1"/>
    <col min="14341" max="14341" width="22.33203125" customWidth="1"/>
    <col min="14342" max="14342" width="38.88671875" customWidth="1"/>
    <col min="14343" max="14343" width="9.33203125" customWidth="1"/>
    <col min="14344" max="14348" width="10.6640625" customWidth="1"/>
    <col min="14594" max="14594" width="5.109375" customWidth="1"/>
    <col min="14595" max="14595" width="4.109375" customWidth="1"/>
    <col min="14596" max="14596" width="5.44140625" customWidth="1"/>
    <col min="14597" max="14597" width="22.33203125" customWidth="1"/>
    <col min="14598" max="14598" width="38.88671875" customWidth="1"/>
    <col min="14599" max="14599" width="9.33203125" customWidth="1"/>
    <col min="14600" max="14604" width="10.6640625" customWidth="1"/>
    <col min="14850" max="14850" width="5.109375" customWidth="1"/>
    <col min="14851" max="14851" width="4.109375" customWidth="1"/>
    <col min="14852" max="14852" width="5.44140625" customWidth="1"/>
    <col min="14853" max="14853" width="22.33203125" customWidth="1"/>
    <col min="14854" max="14854" width="38.88671875" customWidth="1"/>
    <col min="14855" max="14855" width="9.33203125" customWidth="1"/>
    <col min="14856" max="14860" width="10.6640625" customWidth="1"/>
    <col min="15106" max="15106" width="5.109375" customWidth="1"/>
    <col min="15107" max="15107" width="4.109375" customWidth="1"/>
    <col min="15108" max="15108" width="5.44140625" customWidth="1"/>
    <col min="15109" max="15109" width="22.33203125" customWidth="1"/>
    <col min="15110" max="15110" width="38.88671875" customWidth="1"/>
    <col min="15111" max="15111" width="9.33203125" customWidth="1"/>
    <col min="15112" max="15116" width="10.6640625" customWidth="1"/>
    <col min="15362" max="15362" width="5.109375" customWidth="1"/>
    <col min="15363" max="15363" width="4.109375" customWidth="1"/>
    <col min="15364" max="15364" width="5.44140625" customWidth="1"/>
    <col min="15365" max="15365" width="22.33203125" customWidth="1"/>
    <col min="15366" max="15366" width="38.88671875" customWidth="1"/>
    <col min="15367" max="15367" width="9.33203125" customWidth="1"/>
    <col min="15368" max="15372" width="10.6640625" customWidth="1"/>
    <col min="15618" max="15618" width="5.109375" customWidth="1"/>
    <col min="15619" max="15619" width="4.109375" customWidth="1"/>
    <col min="15620" max="15620" width="5.44140625" customWidth="1"/>
    <col min="15621" max="15621" width="22.33203125" customWidth="1"/>
    <col min="15622" max="15622" width="38.88671875" customWidth="1"/>
    <col min="15623" max="15623" width="9.33203125" customWidth="1"/>
    <col min="15624" max="15628" width="10.6640625" customWidth="1"/>
    <col min="15874" max="15874" width="5.109375" customWidth="1"/>
    <col min="15875" max="15875" width="4.109375" customWidth="1"/>
    <col min="15876" max="15876" width="5.44140625" customWidth="1"/>
    <col min="15877" max="15877" width="22.33203125" customWidth="1"/>
    <col min="15878" max="15878" width="38.88671875" customWidth="1"/>
    <col min="15879" max="15879" width="9.33203125" customWidth="1"/>
    <col min="15880" max="15884" width="10.6640625" customWidth="1"/>
    <col min="16130" max="16130" width="5.109375" customWidth="1"/>
    <col min="16131" max="16131" width="4.109375" customWidth="1"/>
    <col min="16132" max="16132" width="5.44140625" customWidth="1"/>
    <col min="16133" max="16133" width="22.33203125" customWidth="1"/>
    <col min="16134" max="16134" width="38.88671875" customWidth="1"/>
    <col min="16135" max="16135" width="9.33203125" customWidth="1"/>
    <col min="16136" max="16140" width="10.6640625" customWidth="1"/>
  </cols>
  <sheetData>
    <row r="1" spans="1:19" s="2" customFormat="1" x14ac:dyDescent="0.3">
      <c r="A1" s="137"/>
      <c r="B1" s="137"/>
      <c r="C1" s="137"/>
      <c r="D1" s="137"/>
      <c r="E1" s="137"/>
      <c r="F1" s="137"/>
      <c r="G1" s="137"/>
      <c r="H1" s="138"/>
      <c r="I1" s="157"/>
      <c r="J1" s="157"/>
      <c r="K1" s="157"/>
      <c r="L1" s="140"/>
      <c r="M1" s="140"/>
      <c r="N1" s="140"/>
      <c r="O1" s="129" t="s">
        <v>189</v>
      </c>
      <c r="P1" s="44"/>
    </row>
    <row r="2" spans="1:19" s="119" customFormat="1" x14ac:dyDescent="0.3">
      <c r="A2" s="137"/>
      <c r="B2" s="137"/>
      <c r="C2" s="137"/>
      <c r="D2" s="137"/>
      <c r="E2" s="137"/>
      <c r="F2" s="137"/>
      <c r="G2" s="137"/>
      <c r="H2" s="138"/>
      <c r="I2" s="139"/>
      <c r="J2" s="139"/>
      <c r="K2" s="139"/>
      <c r="L2" s="140"/>
      <c r="M2" s="140"/>
      <c r="N2" s="140"/>
      <c r="O2" s="129" t="s">
        <v>200</v>
      </c>
      <c r="P2" s="121"/>
    </row>
    <row r="3" spans="1:19" s="2" customFormat="1" x14ac:dyDescent="0.3">
      <c r="A3" s="137"/>
      <c r="B3" s="137"/>
      <c r="C3" s="137"/>
      <c r="D3" s="137"/>
      <c r="E3" s="137"/>
      <c r="F3" s="137"/>
      <c r="G3" s="137"/>
      <c r="H3" s="138"/>
      <c r="I3" s="140"/>
      <c r="J3" s="140"/>
      <c r="K3" s="140"/>
      <c r="L3" s="140"/>
      <c r="M3" s="140"/>
      <c r="N3" s="140"/>
      <c r="O3" s="129" t="s">
        <v>201</v>
      </c>
      <c r="P3" s="44"/>
    </row>
    <row r="4" spans="1:19" s="119" customFormat="1" x14ac:dyDescent="0.3">
      <c r="A4" s="137"/>
      <c r="B4" s="137"/>
      <c r="C4" s="137"/>
      <c r="D4" s="137"/>
      <c r="E4" s="137"/>
      <c r="F4" s="137"/>
      <c r="G4" s="137"/>
      <c r="H4" s="138"/>
      <c r="I4" s="140"/>
      <c r="J4" s="140"/>
      <c r="K4" s="140"/>
      <c r="L4" s="140"/>
      <c r="M4" s="140"/>
      <c r="N4" s="140"/>
      <c r="O4" s="129"/>
      <c r="P4" s="121"/>
    </row>
    <row r="5" spans="1:19" s="2" customFormat="1" ht="12.75" customHeight="1" x14ac:dyDescent="0.3">
      <c r="A5" s="1"/>
      <c r="B5" s="1"/>
      <c r="C5" s="1"/>
      <c r="D5" s="1"/>
      <c r="E5" s="1"/>
      <c r="F5" s="1"/>
      <c r="G5" s="1"/>
      <c r="H5" s="45"/>
      <c r="I5" s="46"/>
      <c r="J5" s="46"/>
      <c r="K5" s="119"/>
      <c r="L5" s="46"/>
      <c r="M5" s="46"/>
      <c r="N5" s="46"/>
      <c r="O5" s="46" t="s">
        <v>190</v>
      </c>
      <c r="P5" s="44"/>
    </row>
    <row r="6" spans="1:19" s="2" customFormat="1" x14ac:dyDescent="0.3">
      <c r="A6" s="1"/>
      <c r="B6" s="1"/>
      <c r="C6" s="1"/>
      <c r="D6" s="1"/>
      <c r="E6" s="1"/>
      <c r="F6" s="1"/>
      <c r="G6" s="1"/>
      <c r="H6" s="45"/>
      <c r="I6" s="46"/>
      <c r="J6" s="46"/>
      <c r="K6" s="119"/>
      <c r="L6" s="46"/>
      <c r="M6" s="46"/>
      <c r="N6" s="46"/>
      <c r="O6" s="46" t="s">
        <v>187</v>
      </c>
      <c r="P6" s="44"/>
    </row>
    <row r="7" spans="1:19" s="2" customFormat="1" x14ac:dyDescent="0.3">
      <c r="A7" s="1"/>
      <c r="B7" s="1"/>
      <c r="C7" s="1"/>
      <c r="D7" s="1"/>
      <c r="E7" s="1"/>
      <c r="F7" s="1"/>
      <c r="G7" s="1"/>
      <c r="H7" s="45"/>
      <c r="I7" s="46"/>
      <c r="J7" s="46"/>
      <c r="K7" s="119"/>
      <c r="L7" s="46"/>
      <c r="M7" s="46"/>
      <c r="N7" s="46"/>
      <c r="O7" s="46" t="s">
        <v>188</v>
      </c>
      <c r="P7" s="44"/>
    </row>
    <row r="8" spans="1:19" s="2" customFormat="1" x14ac:dyDescent="0.3">
      <c r="A8" s="1"/>
      <c r="B8" s="1"/>
      <c r="C8" s="1"/>
      <c r="D8" s="1"/>
      <c r="E8" s="1"/>
      <c r="F8" s="1"/>
      <c r="G8" s="1"/>
      <c r="H8" s="45"/>
      <c r="I8" s="46"/>
      <c r="J8" s="46"/>
      <c r="K8" s="119"/>
      <c r="L8" s="46"/>
      <c r="M8" s="46"/>
      <c r="N8" s="46"/>
      <c r="O8" s="46"/>
      <c r="P8" s="44"/>
    </row>
    <row r="9" spans="1:19" ht="24" customHeight="1" x14ac:dyDescent="0.3">
      <c r="A9" s="158" t="s">
        <v>0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44"/>
    </row>
    <row r="10" spans="1:19" ht="15" customHeight="1" x14ac:dyDescent="0.3">
      <c r="A10" s="155" t="s">
        <v>186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44"/>
    </row>
    <row r="11" spans="1:19" s="8" customFormat="1" ht="15.6" x14ac:dyDescent="0.3">
      <c r="A11" s="156" t="s">
        <v>72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44"/>
      <c r="Q11" s="11"/>
      <c r="R11" s="11"/>
    </row>
    <row r="12" spans="1:19" ht="15" customHeight="1" x14ac:dyDescent="0.3">
      <c r="A12" s="3"/>
      <c r="B12" s="3"/>
      <c r="C12" s="3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4"/>
      <c r="Q12" s="14"/>
      <c r="R12" s="14"/>
    </row>
    <row r="13" spans="1:19" ht="57.75" customHeight="1" x14ac:dyDescent="0.3">
      <c r="A13" s="168" t="s">
        <v>1</v>
      </c>
      <c r="B13" s="168"/>
      <c r="C13" s="168" t="s">
        <v>2</v>
      </c>
      <c r="D13" s="168" t="s">
        <v>3</v>
      </c>
      <c r="E13" s="168" t="s">
        <v>4</v>
      </c>
      <c r="F13" s="168" t="s">
        <v>5</v>
      </c>
      <c r="G13" s="168" t="s">
        <v>6</v>
      </c>
      <c r="H13" s="168" t="s">
        <v>24</v>
      </c>
      <c r="I13" s="168" t="s">
        <v>52</v>
      </c>
      <c r="J13" s="168" t="s">
        <v>53</v>
      </c>
      <c r="K13" s="168" t="s">
        <v>54</v>
      </c>
      <c r="L13" s="168" t="s">
        <v>104</v>
      </c>
      <c r="M13" s="168" t="s">
        <v>109</v>
      </c>
      <c r="N13" s="168" t="s">
        <v>177</v>
      </c>
      <c r="O13" s="168" t="s">
        <v>178</v>
      </c>
      <c r="P13" s="44"/>
      <c r="Q13" s="14"/>
      <c r="R13" s="14"/>
    </row>
    <row r="14" spans="1:19" ht="15" customHeight="1" x14ac:dyDescent="0.3">
      <c r="A14" s="127" t="s">
        <v>7</v>
      </c>
      <c r="B14" s="127" t="s">
        <v>8</v>
      </c>
      <c r="C14" s="173"/>
      <c r="D14" s="168" t="s">
        <v>9</v>
      </c>
      <c r="E14" s="168" t="s">
        <v>10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44"/>
      <c r="Q14" s="14"/>
      <c r="R14" s="14"/>
    </row>
    <row r="15" spans="1:19" ht="15" customHeight="1" x14ac:dyDescent="0.3">
      <c r="A15" s="6" t="s">
        <v>11</v>
      </c>
      <c r="B15" s="7">
        <v>1</v>
      </c>
      <c r="C15" s="7"/>
      <c r="D15" s="152" t="s">
        <v>91</v>
      </c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4"/>
      <c r="P15" s="121"/>
      <c r="Q15" s="92"/>
      <c r="R15" s="92"/>
    </row>
    <row r="16" spans="1:19" ht="15" customHeight="1" x14ac:dyDescent="0.3">
      <c r="A16" s="171" t="s">
        <v>11</v>
      </c>
      <c r="B16" s="171" t="s">
        <v>17</v>
      </c>
      <c r="C16" s="171" t="s">
        <v>12</v>
      </c>
      <c r="D16" s="169" t="s">
        <v>60</v>
      </c>
      <c r="E16" s="147" t="s">
        <v>58</v>
      </c>
      <c r="F16" s="148" t="s">
        <v>15</v>
      </c>
      <c r="G16" s="148">
        <v>249</v>
      </c>
      <c r="H16" s="148">
        <v>418</v>
      </c>
      <c r="I16" s="148">
        <f>389+172</f>
        <v>561</v>
      </c>
      <c r="J16" s="148">
        <f>50+150+44+117+80+120</f>
        <v>561</v>
      </c>
      <c r="K16" s="148">
        <f>50+150+44+117+80+120</f>
        <v>561</v>
      </c>
      <c r="L16" s="148">
        <f>50+150+44+117+80+120</f>
        <v>561</v>
      </c>
      <c r="M16" s="148">
        <f t="shared" ref="M16:N16" si="0">50+150+44+117+80+120</f>
        <v>561</v>
      </c>
      <c r="N16" s="148">
        <f t="shared" si="0"/>
        <v>561</v>
      </c>
      <c r="O16" s="148">
        <f>50+150+44+117+80+120</f>
        <v>561</v>
      </c>
      <c r="P16" s="17"/>
      <c r="Q16" s="12"/>
      <c r="R16" s="12"/>
      <c r="S16" s="10"/>
    </row>
    <row r="17" spans="1:17" ht="37.5" customHeight="1" x14ac:dyDescent="0.3">
      <c r="A17" s="172"/>
      <c r="B17" s="172"/>
      <c r="C17" s="172"/>
      <c r="D17" s="170"/>
      <c r="E17" s="147" t="s">
        <v>94</v>
      </c>
      <c r="F17" s="148" t="s">
        <v>14</v>
      </c>
      <c r="G17" s="5">
        <v>21342.2</v>
      </c>
      <c r="H17" s="5">
        <f>9782+2929.55+4280.55+7480.4+20.5</f>
        <v>24493</v>
      </c>
      <c r="I17" s="5">
        <f>12971.4+10441.6</f>
        <v>23413</v>
      </c>
      <c r="J17" s="5">
        <f>757.2+399.5+1740.2+1440.6+8357.6+10929.8</f>
        <v>23624.9</v>
      </c>
      <c r="K17" s="5">
        <v>48004.800000000003</v>
      </c>
      <c r="L17" s="5">
        <v>53667.1</v>
      </c>
      <c r="M17" s="5">
        <v>52428</v>
      </c>
      <c r="N17" s="5">
        <v>52428</v>
      </c>
      <c r="O17" s="5">
        <v>52428</v>
      </c>
      <c r="P17" s="17"/>
      <c r="Q17" s="121"/>
    </row>
    <row r="18" spans="1:17" ht="18.75" customHeight="1" x14ac:dyDescent="0.3">
      <c r="A18" s="171" t="s">
        <v>11</v>
      </c>
      <c r="B18" s="171" t="s">
        <v>17</v>
      </c>
      <c r="C18" s="171" t="s">
        <v>12</v>
      </c>
      <c r="D18" s="169" t="s">
        <v>59</v>
      </c>
      <c r="E18" s="147" t="s">
        <v>103</v>
      </c>
      <c r="F18" s="148" t="s">
        <v>18</v>
      </c>
      <c r="G18" s="32">
        <v>73</v>
      </c>
      <c r="H18" s="32">
        <v>79</v>
      </c>
      <c r="I18" s="32">
        <f>43+25+13</f>
        <v>81</v>
      </c>
      <c r="J18" s="32">
        <f>25+13+43</f>
        <v>81</v>
      </c>
      <c r="K18" s="32">
        <f>25+13+43</f>
        <v>81</v>
      </c>
      <c r="L18" s="32">
        <f>25+13+43</f>
        <v>81</v>
      </c>
      <c r="M18" s="32">
        <f t="shared" ref="M18:N18" si="1">25+13+43</f>
        <v>81</v>
      </c>
      <c r="N18" s="32">
        <f t="shared" si="1"/>
        <v>81</v>
      </c>
      <c r="O18" s="32">
        <f>25+13+43</f>
        <v>81</v>
      </c>
      <c r="P18" s="17"/>
      <c r="Q18" s="126"/>
    </row>
    <row r="19" spans="1:17" ht="39" customHeight="1" x14ac:dyDescent="0.3">
      <c r="A19" s="172"/>
      <c r="B19" s="172"/>
      <c r="C19" s="172"/>
      <c r="D19" s="170"/>
      <c r="E19" s="147" t="s">
        <v>95</v>
      </c>
      <c r="F19" s="148" t="s">
        <v>14</v>
      </c>
      <c r="G19" s="5">
        <v>55176.7</v>
      </c>
      <c r="H19" s="5">
        <f>40279.4+5367.43+5462.13</f>
        <v>51108.959999999999</v>
      </c>
      <c r="I19" s="5">
        <v>54930.5</v>
      </c>
      <c r="J19" s="5">
        <f>8359.7+9082.3+45005.2</f>
        <v>62447.199999999997</v>
      </c>
      <c r="K19" s="5">
        <v>71686.5</v>
      </c>
      <c r="L19" s="5">
        <v>78753.399999999994</v>
      </c>
      <c r="M19" s="5">
        <v>79179</v>
      </c>
      <c r="N19" s="5">
        <v>79179</v>
      </c>
      <c r="O19" s="5">
        <v>79179</v>
      </c>
      <c r="P19" s="17"/>
      <c r="Q19" s="121"/>
    </row>
    <row r="20" spans="1:17" ht="15.75" customHeight="1" x14ac:dyDescent="0.3">
      <c r="A20" s="162" t="s">
        <v>11</v>
      </c>
      <c r="B20" s="164">
        <v>1</v>
      </c>
      <c r="C20" s="164">
        <v>938</v>
      </c>
      <c r="D20" s="166" t="s">
        <v>51</v>
      </c>
      <c r="E20" s="33" t="s">
        <v>174</v>
      </c>
      <c r="F20" s="148" t="s">
        <v>13</v>
      </c>
      <c r="G20" s="34">
        <v>1299</v>
      </c>
      <c r="H20" s="34">
        <v>3831</v>
      </c>
      <c r="I20" s="34">
        <v>4585</v>
      </c>
      <c r="J20" s="34">
        <v>6300</v>
      </c>
      <c r="K20" s="34">
        <v>6500</v>
      </c>
      <c r="L20" s="34">
        <v>6500</v>
      </c>
      <c r="M20" s="34">
        <v>6500</v>
      </c>
      <c r="N20" s="34">
        <v>6500</v>
      </c>
      <c r="O20" s="34">
        <v>6500</v>
      </c>
      <c r="P20" s="17"/>
      <c r="Q20" s="121"/>
    </row>
    <row r="21" spans="1:17" ht="39" customHeight="1" x14ac:dyDescent="0.3">
      <c r="A21" s="163"/>
      <c r="B21" s="165"/>
      <c r="C21" s="165"/>
      <c r="D21" s="167"/>
      <c r="E21" s="147" t="s">
        <v>95</v>
      </c>
      <c r="F21" s="148" t="s">
        <v>14</v>
      </c>
      <c r="G21" s="5">
        <v>377.4</v>
      </c>
      <c r="H21" s="5">
        <v>808.5</v>
      </c>
      <c r="I21" s="5">
        <v>854.2</v>
      </c>
      <c r="J21" s="5">
        <v>1036.5999999999999</v>
      </c>
      <c r="K21" s="5">
        <v>4923.5</v>
      </c>
      <c r="L21" s="5">
        <v>5757.2</v>
      </c>
      <c r="M21" s="5">
        <v>5757.2</v>
      </c>
      <c r="N21" s="5">
        <v>5757.2</v>
      </c>
      <c r="O21" s="5">
        <v>5757.2</v>
      </c>
      <c r="P21" s="116"/>
      <c r="Q21" s="10"/>
    </row>
    <row r="22" spans="1:17" ht="18.75" customHeight="1" x14ac:dyDescent="0.3">
      <c r="A22" s="6" t="s">
        <v>11</v>
      </c>
      <c r="B22" s="7">
        <v>2</v>
      </c>
      <c r="C22" s="7"/>
      <c r="D22" s="152" t="s">
        <v>55</v>
      </c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4"/>
      <c r="P22" s="116"/>
      <c r="Q22" s="121"/>
    </row>
    <row r="23" spans="1:17" ht="13.5" customHeight="1" x14ac:dyDescent="0.3">
      <c r="A23" s="162" t="s">
        <v>11</v>
      </c>
      <c r="B23" s="164">
        <v>2</v>
      </c>
      <c r="C23" s="164">
        <v>938</v>
      </c>
      <c r="D23" s="166" t="s">
        <v>19</v>
      </c>
      <c r="E23" s="147" t="s">
        <v>21</v>
      </c>
      <c r="F23" s="148" t="s">
        <v>18</v>
      </c>
      <c r="G23" s="5">
        <v>1500</v>
      </c>
      <c r="H23" s="34">
        <v>3932</v>
      </c>
      <c r="I23" s="34">
        <v>3980</v>
      </c>
      <c r="J23" s="34">
        <v>4000</v>
      </c>
      <c r="K23" s="34">
        <v>4000</v>
      </c>
      <c r="L23" s="34">
        <v>4000</v>
      </c>
      <c r="M23" s="34">
        <v>4000</v>
      </c>
      <c r="N23" s="34">
        <v>4000</v>
      </c>
      <c r="O23" s="34">
        <v>4000</v>
      </c>
      <c r="P23" s="17"/>
      <c r="Q23" s="121"/>
    </row>
    <row r="24" spans="1:17" ht="46.5" customHeight="1" x14ac:dyDescent="0.3">
      <c r="A24" s="163"/>
      <c r="B24" s="165"/>
      <c r="C24" s="165"/>
      <c r="D24" s="167"/>
      <c r="E24" s="147" t="s">
        <v>95</v>
      </c>
      <c r="F24" s="148" t="s">
        <v>14</v>
      </c>
      <c r="G24" s="5">
        <v>1750.43</v>
      </c>
      <c r="H24" s="5">
        <v>3039.39</v>
      </c>
      <c r="I24" s="5">
        <v>1352.6</v>
      </c>
      <c r="J24" s="5">
        <v>1443.9</v>
      </c>
      <c r="K24" s="5">
        <v>2165.4</v>
      </c>
      <c r="L24" s="5">
        <v>2207.6999999999998</v>
      </c>
      <c r="M24" s="5">
        <v>2207.6999999999998</v>
      </c>
      <c r="N24" s="5">
        <v>2207.6999999999998</v>
      </c>
      <c r="O24" s="5">
        <v>2207.6999999999998</v>
      </c>
      <c r="P24" s="17"/>
      <c r="Q24" s="121"/>
    </row>
    <row r="25" spans="1:17" ht="16.5" customHeight="1" x14ac:dyDescent="0.3">
      <c r="A25" s="162" t="s">
        <v>11</v>
      </c>
      <c r="B25" s="164">
        <v>2</v>
      </c>
      <c r="C25" s="164">
        <v>938</v>
      </c>
      <c r="D25" s="166" t="s">
        <v>101</v>
      </c>
      <c r="E25" s="147" t="s">
        <v>20</v>
      </c>
      <c r="F25" s="148" t="s">
        <v>18</v>
      </c>
      <c r="G25" s="5">
        <v>1500</v>
      </c>
      <c r="H25" s="5">
        <v>4900</v>
      </c>
      <c r="I25" s="5">
        <v>5120</v>
      </c>
      <c r="J25" s="5">
        <v>5000</v>
      </c>
      <c r="K25" s="5">
        <v>5000</v>
      </c>
      <c r="L25" s="5">
        <v>5000</v>
      </c>
      <c r="M25" s="5">
        <v>5000</v>
      </c>
      <c r="N25" s="5">
        <v>5000</v>
      </c>
      <c r="O25" s="5">
        <v>5000</v>
      </c>
      <c r="P25" s="17"/>
      <c r="Q25" s="121"/>
    </row>
    <row r="26" spans="1:17" ht="47.25" customHeight="1" x14ac:dyDescent="0.3">
      <c r="A26" s="163"/>
      <c r="B26" s="165"/>
      <c r="C26" s="165"/>
      <c r="D26" s="167"/>
      <c r="E26" s="147" t="s">
        <v>95</v>
      </c>
      <c r="F26" s="148" t="s">
        <v>14</v>
      </c>
      <c r="G26" s="5">
        <v>1750.4</v>
      </c>
      <c r="H26" s="5">
        <v>3038.74</v>
      </c>
      <c r="I26" s="5">
        <v>2164.1999999999998</v>
      </c>
      <c r="J26" s="5">
        <v>2310.3000000000002</v>
      </c>
      <c r="K26" s="5">
        <v>3464.5</v>
      </c>
      <c r="L26" s="5">
        <v>3532.4</v>
      </c>
      <c r="M26" s="5">
        <v>3532.4</v>
      </c>
      <c r="N26" s="5">
        <v>3532.4</v>
      </c>
      <c r="O26" s="5">
        <v>3532.4</v>
      </c>
      <c r="P26" s="17"/>
      <c r="Q26" s="121"/>
    </row>
    <row r="27" spans="1:17" ht="21" customHeight="1" x14ac:dyDescent="0.3">
      <c r="A27" s="162" t="s">
        <v>11</v>
      </c>
      <c r="B27" s="164">
        <v>2</v>
      </c>
      <c r="C27" s="164">
        <v>938</v>
      </c>
      <c r="D27" s="166" t="s">
        <v>93</v>
      </c>
      <c r="E27" s="147" t="s">
        <v>22</v>
      </c>
      <c r="F27" s="148" t="s">
        <v>18</v>
      </c>
      <c r="G27" s="5">
        <v>231000</v>
      </c>
      <c r="H27" s="5">
        <v>224294</v>
      </c>
      <c r="I27" s="5">
        <v>309530</v>
      </c>
      <c r="J27" s="5">
        <v>309540</v>
      </c>
      <c r="K27" s="5">
        <v>310000</v>
      </c>
      <c r="L27" s="5">
        <v>310000</v>
      </c>
      <c r="M27" s="5">
        <v>310000</v>
      </c>
      <c r="N27" s="5">
        <v>310000</v>
      </c>
      <c r="O27" s="5">
        <v>310000</v>
      </c>
      <c r="P27" s="17"/>
      <c r="Q27" s="121"/>
    </row>
    <row r="28" spans="1:17" ht="46.5" customHeight="1" x14ac:dyDescent="0.3">
      <c r="A28" s="163"/>
      <c r="B28" s="165"/>
      <c r="C28" s="165"/>
      <c r="D28" s="167"/>
      <c r="E28" s="147" t="s">
        <v>95</v>
      </c>
      <c r="F28" s="148" t="s">
        <v>14</v>
      </c>
      <c r="G28" s="5">
        <v>23922.400000000001</v>
      </c>
      <c r="H28" s="5">
        <v>15637.6</v>
      </c>
      <c r="I28" s="5">
        <v>22453.200000000001</v>
      </c>
      <c r="J28" s="5">
        <v>23969.1</v>
      </c>
      <c r="K28" s="5">
        <v>35944.699999999997</v>
      </c>
      <c r="L28" s="5">
        <v>36648.300000000003</v>
      </c>
      <c r="M28" s="5">
        <v>36648.300000000003</v>
      </c>
      <c r="N28" s="5">
        <v>36648.300000000003</v>
      </c>
      <c r="O28" s="5">
        <v>36648.300000000003</v>
      </c>
      <c r="P28" s="17"/>
      <c r="Q28" s="121"/>
    </row>
    <row r="29" spans="1:17" ht="21.75" customHeight="1" x14ac:dyDescent="0.3">
      <c r="A29" s="162" t="s">
        <v>11</v>
      </c>
      <c r="B29" s="164">
        <v>2</v>
      </c>
      <c r="C29" s="164">
        <v>938</v>
      </c>
      <c r="D29" s="166" t="s">
        <v>56</v>
      </c>
      <c r="E29" s="147" t="s">
        <v>22</v>
      </c>
      <c r="F29" s="148" t="s">
        <v>18</v>
      </c>
      <c r="G29" s="5">
        <v>27000</v>
      </c>
      <c r="H29" s="5">
        <v>48000</v>
      </c>
      <c r="I29" s="5">
        <v>55420</v>
      </c>
      <c r="J29" s="5">
        <v>55440</v>
      </c>
      <c r="K29" s="5">
        <v>57000</v>
      </c>
      <c r="L29" s="5">
        <v>57000</v>
      </c>
      <c r="M29" s="5">
        <v>57000</v>
      </c>
      <c r="N29" s="5">
        <v>57000</v>
      </c>
      <c r="O29" s="5">
        <v>57000</v>
      </c>
      <c r="P29" s="17"/>
      <c r="Q29" s="121"/>
    </row>
    <row r="30" spans="1:17" ht="41.25" customHeight="1" x14ac:dyDescent="0.3">
      <c r="A30" s="163"/>
      <c r="B30" s="165"/>
      <c r="C30" s="165"/>
      <c r="D30" s="167"/>
      <c r="E30" s="147" t="s">
        <v>95</v>
      </c>
      <c r="F30" s="148" t="s">
        <v>14</v>
      </c>
      <c r="G30" s="5">
        <v>1750.1</v>
      </c>
      <c r="H30" s="5">
        <v>2794.08</v>
      </c>
      <c r="I30" s="5">
        <v>1082.0999999999999</v>
      </c>
      <c r="J30" s="5">
        <v>1155.0999999999999</v>
      </c>
      <c r="K30" s="5">
        <v>1732.3</v>
      </c>
      <c r="L30" s="5">
        <v>1766.2</v>
      </c>
      <c r="M30" s="5">
        <v>1766.2</v>
      </c>
      <c r="N30" s="5">
        <v>1766.2</v>
      </c>
      <c r="O30" s="5">
        <v>1766.2</v>
      </c>
      <c r="P30" s="116"/>
      <c r="Q30" s="10"/>
    </row>
    <row r="31" spans="1:17" ht="17.25" customHeight="1" x14ac:dyDescent="0.3">
      <c r="A31" s="128" t="s">
        <v>11</v>
      </c>
      <c r="B31" s="35">
        <v>3</v>
      </c>
      <c r="C31" s="35"/>
      <c r="D31" s="159" t="s">
        <v>57</v>
      </c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1"/>
      <c r="P31" s="17"/>
      <c r="Q31" s="121"/>
    </row>
    <row r="32" spans="1:17" ht="15" customHeight="1" x14ac:dyDescent="0.3">
      <c r="A32" s="162" t="s">
        <v>11</v>
      </c>
      <c r="B32" s="162" t="s">
        <v>42</v>
      </c>
      <c r="C32" s="162" t="s">
        <v>12</v>
      </c>
      <c r="D32" s="166" t="s">
        <v>102</v>
      </c>
      <c r="E32" s="147" t="s">
        <v>110</v>
      </c>
      <c r="F32" s="148" t="s">
        <v>18</v>
      </c>
      <c r="G32" s="34">
        <v>72</v>
      </c>
      <c r="H32" s="34">
        <v>72</v>
      </c>
      <c r="I32" s="34">
        <v>72</v>
      </c>
      <c r="J32" s="34">
        <v>72</v>
      </c>
      <c r="K32" s="34">
        <v>72</v>
      </c>
      <c r="L32" s="34">
        <v>72</v>
      </c>
      <c r="M32" s="34">
        <v>72</v>
      </c>
      <c r="N32" s="34">
        <v>72</v>
      </c>
      <c r="O32" s="34">
        <v>72</v>
      </c>
      <c r="P32" s="17"/>
      <c r="Q32" s="121"/>
    </row>
    <row r="33" spans="1:18" ht="36" x14ac:dyDescent="0.3">
      <c r="A33" s="163"/>
      <c r="B33" s="163"/>
      <c r="C33" s="163"/>
      <c r="D33" s="167"/>
      <c r="E33" s="147" t="s">
        <v>95</v>
      </c>
      <c r="F33" s="148" t="s">
        <v>14</v>
      </c>
      <c r="G33" s="5">
        <v>3819.9</v>
      </c>
      <c r="H33" s="5">
        <v>3703.75</v>
      </c>
      <c r="I33" s="5">
        <v>2978.5</v>
      </c>
      <c r="J33" s="5">
        <v>2384.5</v>
      </c>
      <c r="K33" s="5">
        <v>4412.3999999999996</v>
      </c>
      <c r="L33" s="5">
        <v>4066.9</v>
      </c>
      <c r="M33" s="5">
        <v>3975.4</v>
      </c>
      <c r="N33" s="5">
        <v>3972.4</v>
      </c>
      <c r="O33" s="5">
        <v>3972.4</v>
      </c>
      <c r="P33" s="17"/>
      <c r="Q33" s="121"/>
      <c r="R33" s="121"/>
    </row>
    <row r="34" spans="1:18" s="101" customFormat="1" ht="23.25" customHeight="1" x14ac:dyDescent="0.3">
      <c r="A34" s="162" t="s">
        <v>11</v>
      </c>
      <c r="B34" s="162" t="s">
        <v>42</v>
      </c>
      <c r="C34" s="162" t="s">
        <v>12</v>
      </c>
      <c r="D34" s="166" t="s">
        <v>23</v>
      </c>
      <c r="E34" s="33" t="s">
        <v>172</v>
      </c>
      <c r="F34" s="148" t="s">
        <v>18</v>
      </c>
      <c r="G34" s="34">
        <v>15428</v>
      </c>
      <c r="H34" s="34">
        <v>15508</v>
      </c>
      <c r="I34" s="34">
        <v>15578</v>
      </c>
      <c r="J34" s="34">
        <v>15638</v>
      </c>
      <c r="K34" s="34">
        <v>15678</v>
      </c>
      <c r="L34" s="34">
        <v>15728</v>
      </c>
      <c r="M34" s="34">
        <v>15778</v>
      </c>
      <c r="N34" s="34">
        <v>15828</v>
      </c>
      <c r="O34" s="34">
        <v>15828</v>
      </c>
      <c r="P34" s="17"/>
      <c r="Q34" s="121"/>
      <c r="R34" s="121"/>
    </row>
    <row r="35" spans="1:18" s="101" customFormat="1" ht="50.25" customHeight="1" x14ac:dyDescent="0.3">
      <c r="A35" s="163"/>
      <c r="B35" s="163"/>
      <c r="C35" s="163"/>
      <c r="D35" s="167"/>
      <c r="E35" s="147" t="s">
        <v>95</v>
      </c>
      <c r="F35" s="148" t="s">
        <v>14</v>
      </c>
      <c r="G35" s="5">
        <v>3866</v>
      </c>
      <c r="H35" s="5">
        <v>3799.45</v>
      </c>
      <c r="I35" s="5">
        <v>3353.2</v>
      </c>
      <c r="J35" s="5">
        <v>2170.8000000000002</v>
      </c>
      <c r="K35" s="5">
        <v>3097.5</v>
      </c>
      <c r="L35" s="5">
        <v>2870.7</v>
      </c>
      <c r="M35" s="5">
        <v>2808.6</v>
      </c>
      <c r="N35" s="5">
        <v>2815.4</v>
      </c>
      <c r="O35" s="5">
        <v>2815.4</v>
      </c>
      <c r="P35" s="17"/>
      <c r="Q35" s="121"/>
      <c r="R35" s="121"/>
    </row>
    <row r="36" spans="1:18" s="102" customFormat="1" ht="18" customHeight="1" x14ac:dyDescent="0.3">
      <c r="A36" s="162" t="s">
        <v>11</v>
      </c>
      <c r="B36" s="162" t="s">
        <v>42</v>
      </c>
      <c r="C36" s="162" t="s">
        <v>12</v>
      </c>
      <c r="D36" s="166" t="s">
        <v>169</v>
      </c>
      <c r="E36" s="33" t="s">
        <v>173</v>
      </c>
      <c r="F36" s="148" t="s">
        <v>18</v>
      </c>
      <c r="G36" s="34" t="s">
        <v>81</v>
      </c>
      <c r="H36" s="34">
        <v>12000</v>
      </c>
      <c r="I36" s="34">
        <v>12150</v>
      </c>
      <c r="J36" s="34">
        <v>18600</v>
      </c>
      <c r="K36" s="34">
        <v>20000</v>
      </c>
      <c r="L36" s="34">
        <v>16000</v>
      </c>
      <c r="M36" s="34">
        <v>16000</v>
      </c>
      <c r="N36" s="34">
        <v>16000</v>
      </c>
      <c r="O36" s="34">
        <v>16000</v>
      </c>
      <c r="P36" s="17"/>
      <c r="Q36" s="121"/>
      <c r="R36" s="121"/>
    </row>
    <row r="37" spans="1:18" s="102" customFormat="1" ht="36" x14ac:dyDescent="0.3">
      <c r="A37" s="163"/>
      <c r="B37" s="163"/>
      <c r="C37" s="163"/>
      <c r="D37" s="167"/>
      <c r="E37" s="147" t="s">
        <v>95</v>
      </c>
      <c r="F37" s="148" t="s">
        <v>14</v>
      </c>
      <c r="G37" s="5" t="s">
        <v>81</v>
      </c>
      <c r="H37" s="5">
        <v>0</v>
      </c>
      <c r="I37" s="5">
        <v>508.2</v>
      </c>
      <c r="J37" s="5">
        <v>2091.9</v>
      </c>
      <c r="K37" s="5">
        <v>3107.1</v>
      </c>
      <c r="L37" s="5">
        <v>2272.6999999999998</v>
      </c>
      <c r="M37" s="5">
        <v>2239.5</v>
      </c>
      <c r="N37" s="5">
        <v>2237.9</v>
      </c>
      <c r="O37" s="5">
        <v>2237.9</v>
      </c>
      <c r="P37" s="17"/>
      <c r="Q37" s="121"/>
      <c r="R37" s="121"/>
    </row>
    <row r="38" spans="1:18" s="101" customFormat="1" ht="18" customHeight="1" x14ac:dyDescent="0.3">
      <c r="A38" s="162" t="s">
        <v>11</v>
      </c>
      <c r="B38" s="162" t="s">
        <v>42</v>
      </c>
      <c r="C38" s="162" t="s">
        <v>12</v>
      </c>
      <c r="D38" s="166" t="s">
        <v>168</v>
      </c>
      <c r="E38" s="33" t="s">
        <v>173</v>
      </c>
      <c r="F38" s="148" t="s">
        <v>18</v>
      </c>
      <c r="G38" s="34" t="s">
        <v>81</v>
      </c>
      <c r="H38" s="34" t="s">
        <v>81</v>
      </c>
      <c r="I38" s="34">
        <v>1572</v>
      </c>
      <c r="J38" s="34">
        <v>1800</v>
      </c>
      <c r="K38" s="34">
        <v>1900</v>
      </c>
      <c r="L38" s="34">
        <v>2000</v>
      </c>
      <c r="M38" s="34">
        <v>2000</v>
      </c>
      <c r="N38" s="34">
        <v>2000</v>
      </c>
      <c r="O38" s="34">
        <v>2000</v>
      </c>
      <c r="P38" s="17"/>
      <c r="Q38" s="121"/>
      <c r="R38" s="121"/>
    </row>
    <row r="39" spans="1:18" s="101" customFormat="1" ht="36" x14ac:dyDescent="0.3">
      <c r="A39" s="163"/>
      <c r="B39" s="163"/>
      <c r="C39" s="163"/>
      <c r="D39" s="167"/>
      <c r="E39" s="147" t="s">
        <v>95</v>
      </c>
      <c r="F39" s="148" t="s">
        <v>14</v>
      </c>
      <c r="G39" s="5" t="s">
        <v>81</v>
      </c>
      <c r="H39" s="5" t="s">
        <v>81</v>
      </c>
      <c r="I39" s="5">
        <v>149.4</v>
      </c>
      <c r="J39" s="5">
        <v>460.1</v>
      </c>
      <c r="K39" s="5">
        <v>670.9</v>
      </c>
      <c r="L39" s="5">
        <v>598.1</v>
      </c>
      <c r="M39" s="5">
        <v>636.20000000000005</v>
      </c>
      <c r="N39" s="5">
        <v>635.79999999999995</v>
      </c>
      <c r="O39" s="5">
        <v>635.79999999999995</v>
      </c>
      <c r="P39" s="17"/>
      <c r="Q39" s="121"/>
      <c r="R39" s="121"/>
    </row>
    <row r="40" spans="1:18" s="101" customFormat="1" ht="18" customHeight="1" x14ac:dyDescent="0.3">
      <c r="A40" s="162" t="s">
        <v>11</v>
      </c>
      <c r="B40" s="162" t="s">
        <v>42</v>
      </c>
      <c r="C40" s="162" t="s">
        <v>12</v>
      </c>
      <c r="D40" s="166" t="s">
        <v>170</v>
      </c>
      <c r="E40" s="33" t="s">
        <v>173</v>
      </c>
      <c r="F40" s="148" t="s">
        <v>18</v>
      </c>
      <c r="G40" s="34" t="s">
        <v>81</v>
      </c>
      <c r="H40" s="34">
        <v>25300</v>
      </c>
      <c r="I40" s="34">
        <v>26261</v>
      </c>
      <c r="J40" s="34">
        <v>26890</v>
      </c>
      <c r="K40" s="34">
        <v>20600</v>
      </c>
      <c r="L40" s="34">
        <v>21600</v>
      </c>
      <c r="M40" s="34">
        <v>21600</v>
      </c>
      <c r="N40" s="34">
        <v>21600</v>
      </c>
      <c r="O40" s="34">
        <v>21600</v>
      </c>
      <c r="P40" s="17"/>
      <c r="Q40" s="121"/>
      <c r="R40" s="121"/>
    </row>
    <row r="41" spans="1:18" s="101" customFormat="1" ht="36" x14ac:dyDescent="0.3">
      <c r="A41" s="163"/>
      <c r="B41" s="163"/>
      <c r="C41" s="163"/>
      <c r="D41" s="167"/>
      <c r="E41" s="147" t="s">
        <v>95</v>
      </c>
      <c r="F41" s="148" t="s">
        <v>14</v>
      </c>
      <c r="G41" s="5" t="s">
        <v>81</v>
      </c>
      <c r="H41" s="5">
        <v>0</v>
      </c>
      <c r="I41" s="5">
        <v>1577.2</v>
      </c>
      <c r="J41" s="5">
        <v>1489.4</v>
      </c>
      <c r="K41" s="5">
        <v>1576.1</v>
      </c>
      <c r="L41" s="5">
        <v>1435.4</v>
      </c>
      <c r="M41" s="5">
        <v>1489</v>
      </c>
      <c r="N41" s="5">
        <v>1487.8</v>
      </c>
      <c r="O41" s="5">
        <v>1487.8</v>
      </c>
      <c r="P41" s="17"/>
      <c r="Q41" s="121"/>
      <c r="R41" s="121"/>
    </row>
    <row r="42" spans="1:18" ht="19.5" customHeight="1" x14ac:dyDescent="0.3">
      <c r="A42" s="162" t="s">
        <v>11</v>
      </c>
      <c r="B42" s="162" t="s">
        <v>42</v>
      </c>
      <c r="C42" s="162" t="s">
        <v>12</v>
      </c>
      <c r="D42" s="166" t="s">
        <v>171</v>
      </c>
      <c r="E42" s="33" t="s">
        <v>173</v>
      </c>
      <c r="F42" s="148" t="s">
        <v>18</v>
      </c>
      <c r="G42" s="34" t="s">
        <v>81</v>
      </c>
      <c r="H42" s="34" t="s">
        <v>81</v>
      </c>
      <c r="I42" s="34" t="s">
        <v>81</v>
      </c>
      <c r="J42" s="34">
        <v>6000</v>
      </c>
      <c r="K42" s="34">
        <v>11000</v>
      </c>
      <c r="L42" s="34">
        <v>12000</v>
      </c>
      <c r="M42" s="34">
        <v>12000</v>
      </c>
      <c r="N42" s="34">
        <v>12000</v>
      </c>
      <c r="O42" s="34">
        <v>12000</v>
      </c>
      <c r="P42" s="17"/>
      <c r="Q42" s="121"/>
      <c r="R42" s="121"/>
    </row>
    <row r="43" spans="1:18" ht="36.75" customHeight="1" x14ac:dyDescent="0.3">
      <c r="A43" s="163"/>
      <c r="B43" s="163"/>
      <c r="C43" s="163"/>
      <c r="D43" s="167"/>
      <c r="E43" s="147" t="s">
        <v>95</v>
      </c>
      <c r="F43" s="148" t="s">
        <v>14</v>
      </c>
      <c r="G43" s="5" t="s">
        <v>81</v>
      </c>
      <c r="H43" s="5" t="s">
        <v>81</v>
      </c>
      <c r="I43" s="5" t="s">
        <v>81</v>
      </c>
      <c r="J43" s="5">
        <v>326.5</v>
      </c>
      <c r="K43" s="5">
        <v>826.9</v>
      </c>
      <c r="L43" s="5">
        <v>717.6</v>
      </c>
      <c r="M43" s="5">
        <v>812.7</v>
      </c>
      <c r="N43" s="5">
        <v>812.1</v>
      </c>
      <c r="O43" s="5">
        <v>812.1</v>
      </c>
      <c r="P43" s="116"/>
      <c r="Q43" s="10"/>
      <c r="R43" s="10"/>
    </row>
    <row r="44" spans="1:18" x14ac:dyDescent="0.3">
      <c r="A44" s="141"/>
      <c r="B44" s="137"/>
      <c r="C44" s="137"/>
      <c r="D44" s="137"/>
      <c r="E44" s="137"/>
      <c r="F44" s="137"/>
      <c r="G44" s="137"/>
      <c r="H44" s="142"/>
      <c r="I44" s="143"/>
      <c r="J44" s="137"/>
      <c r="K44" s="144"/>
      <c r="L44" s="137"/>
      <c r="M44" s="145"/>
      <c r="N44" s="145"/>
      <c r="O44" s="146" t="s">
        <v>199</v>
      </c>
    </row>
    <row r="45" spans="1:18" x14ac:dyDescent="0.3">
      <c r="A45" s="40"/>
      <c r="K45" s="116"/>
    </row>
    <row r="46" spans="1:18" x14ac:dyDescent="0.3">
      <c r="A46" s="40"/>
      <c r="L46" s="10"/>
    </row>
    <row r="47" spans="1:18" x14ac:dyDescent="0.3">
      <c r="A47" s="40"/>
    </row>
    <row r="48" spans="1:18" x14ac:dyDescent="0.3">
      <c r="A48" s="40"/>
    </row>
    <row r="49" spans="1:1" x14ac:dyDescent="0.3">
      <c r="A49" s="40"/>
    </row>
    <row r="50" spans="1:1" x14ac:dyDescent="0.3">
      <c r="A50" s="40"/>
    </row>
    <row r="51" spans="1:1" x14ac:dyDescent="0.3">
      <c r="A51" s="40"/>
    </row>
    <row r="52" spans="1:1" x14ac:dyDescent="0.3">
      <c r="A52" s="40"/>
    </row>
    <row r="53" spans="1:1" x14ac:dyDescent="0.3">
      <c r="A53" s="40"/>
    </row>
    <row r="54" spans="1:1" x14ac:dyDescent="0.3">
      <c r="A54" s="40"/>
    </row>
    <row r="55" spans="1:1" x14ac:dyDescent="0.3">
      <c r="A55" s="40"/>
    </row>
    <row r="56" spans="1:1" x14ac:dyDescent="0.3">
      <c r="A56" s="40"/>
    </row>
    <row r="57" spans="1:1" x14ac:dyDescent="0.3">
      <c r="A57" s="40"/>
    </row>
    <row r="58" spans="1:1" x14ac:dyDescent="0.3">
      <c r="A58" s="40"/>
    </row>
    <row r="59" spans="1:1" x14ac:dyDescent="0.3">
      <c r="A59" s="40"/>
    </row>
    <row r="60" spans="1:1" x14ac:dyDescent="0.3">
      <c r="A60" s="40"/>
    </row>
    <row r="61" spans="1:1" x14ac:dyDescent="0.3">
      <c r="A61" s="40"/>
    </row>
    <row r="62" spans="1:1" x14ac:dyDescent="0.3">
      <c r="A62" s="40"/>
    </row>
    <row r="63" spans="1:1" x14ac:dyDescent="0.3">
      <c r="A63" s="40"/>
    </row>
    <row r="64" spans="1:1" x14ac:dyDescent="0.3">
      <c r="A64" s="40"/>
    </row>
    <row r="65" spans="1:1" x14ac:dyDescent="0.3">
      <c r="A65" s="40"/>
    </row>
    <row r="66" spans="1:1" x14ac:dyDescent="0.3">
      <c r="A66" s="40"/>
    </row>
    <row r="67" spans="1:1" x14ac:dyDescent="0.3">
      <c r="A67" s="40"/>
    </row>
    <row r="68" spans="1:1" x14ac:dyDescent="0.3">
      <c r="A68" s="40"/>
    </row>
    <row r="69" spans="1:1" x14ac:dyDescent="0.3">
      <c r="A69" s="40"/>
    </row>
    <row r="70" spans="1:1" x14ac:dyDescent="0.3">
      <c r="A70" s="40"/>
    </row>
    <row r="71" spans="1:1" x14ac:dyDescent="0.3">
      <c r="A71" s="40"/>
    </row>
    <row r="72" spans="1:1" x14ac:dyDescent="0.3">
      <c r="A72" s="40"/>
    </row>
    <row r="73" spans="1:1" x14ac:dyDescent="0.3">
      <c r="A73" s="40"/>
    </row>
    <row r="74" spans="1:1" x14ac:dyDescent="0.3">
      <c r="A74" s="40"/>
    </row>
    <row r="75" spans="1:1" x14ac:dyDescent="0.3">
      <c r="A75" s="40"/>
    </row>
    <row r="76" spans="1:1" x14ac:dyDescent="0.3">
      <c r="A76" s="40"/>
    </row>
    <row r="77" spans="1:1" x14ac:dyDescent="0.3">
      <c r="A77" s="40"/>
    </row>
    <row r="78" spans="1:1" x14ac:dyDescent="0.3">
      <c r="A78" s="40"/>
    </row>
    <row r="79" spans="1:1" x14ac:dyDescent="0.3">
      <c r="A79" s="40"/>
    </row>
    <row r="80" spans="1:1" x14ac:dyDescent="0.3">
      <c r="A80" s="40"/>
    </row>
    <row r="81" spans="1:1" x14ac:dyDescent="0.3">
      <c r="A81" s="40"/>
    </row>
    <row r="82" spans="1:1" x14ac:dyDescent="0.3">
      <c r="A82" s="40"/>
    </row>
    <row r="83" spans="1:1" x14ac:dyDescent="0.3">
      <c r="A83" s="40"/>
    </row>
    <row r="84" spans="1:1" x14ac:dyDescent="0.3">
      <c r="A84" s="40"/>
    </row>
    <row r="85" spans="1:1" x14ac:dyDescent="0.3">
      <c r="A85" s="40"/>
    </row>
    <row r="86" spans="1:1" x14ac:dyDescent="0.3">
      <c r="A86" s="40"/>
    </row>
    <row r="87" spans="1:1" x14ac:dyDescent="0.3">
      <c r="A87" s="40"/>
    </row>
    <row r="88" spans="1:1" x14ac:dyDescent="0.3">
      <c r="A88" s="40"/>
    </row>
    <row r="89" spans="1:1" x14ac:dyDescent="0.3">
      <c r="A89" s="40"/>
    </row>
    <row r="90" spans="1:1" x14ac:dyDescent="0.3">
      <c r="A90" s="40"/>
    </row>
    <row r="91" spans="1:1" x14ac:dyDescent="0.3">
      <c r="A91" s="40"/>
    </row>
    <row r="92" spans="1:1" x14ac:dyDescent="0.3">
      <c r="A92" s="40"/>
    </row>
    <row r="93" spans="1:1" x14ac:dyDescent="0.3">
      <c r="A93" s="40"/>
    </row>
    <row r="94" spans="1:1" x14ac:dyDescent="0.3">
      <c r="A94" s="40"/>
    </row>
    <row r="95" spans="1:1" x14ac:dyDescent="0.3">
      <c r="A95" s="40"/>
    </row>
    <row r="96" spans="1:1" x14ac:dyDescent="0.3">
      <c r="A96" s="40"/>
    </row>
    <row r="97" spans="1:1" x14ac:dyDescent="0.3">
      <c r="A97" s="40"/>
    </row>
    <row r="98" spans="1:1" x14ac:dyDescent="0.3">
      <c r="A98" s="40"/>
    </row>
    <row r="99" spans="1:1" x14ac:dyDescent="0.3">
      <c r="A99" s="40"/>
    </row>
    <row r="100" spans="1:1" x14ac:dyDescent="0.3">
      <c r="A100" s="40"/>
    </row>
    <row r="101" spans="1:1" x14ac:dyDescent="0.3">
      <c r="A101" s="40"/>
    </row>
    <row r="102" spans="1:1" x14ac:dyDescent="0.3">
      <c r="A102" s="40"/>
    </row>
    <row r="103" spans="1:1" x14ac:dyDescent="0.3">
      <c r="A103" s="40"/>
    </row>
    <row r="104" spans="1:1" x14ac:dyDescent="0.3">
      <c r="A104" s="40"/>
    </row>
    <row r="105" spans="1:1" x14ac:dyDescent="0.3">
      <c r="A105" s="40"/>
    </row>
    <row r="106" spans="1:1" x14ac:dyDescent="0.3">
      <c r="A106" s="40"/>
    </row>
    <row r="107" spans="1:1" x14ac:dyDescent="0.3">
      <c r="A107" s="40"/>
    </row>
    <row r="108" spans="1:1" x14ac:dyDescent="0.3">
      <c r="A108" s="40"/>
    </row>
    <row r="109" spans="1:1" x14ac:dyDescent="0.3">
      <c r="A109" s="40"/>
    </row>
    <row r="110" spans="1:1" x14ac:dyDescent="0.3">
      <c r="A110" s="40"/>
    </row>
    <row r="111" spans="1:1" x14ac:dyDescent="0.3">
      <c r="A111" s="40"/>
    </row>
    <row r="112" spans="1:1" x14ac:dyDescent="0.3">
      <c r="A112" s="40"/>
    </row>
    <row r="113" spans="1:1" x14ac:dyDescent="0.3">
      <c r="A113" s="40"/>
    </row>
    <row r="114" spans="1:1" x14ac:dyDescent="0.3">
      <c r="A114" s="40"/>
    </row>
    <row r="115" spans="1:1" x14ac:dyDescent="0.3">
      <c r="A115" s="40"/>
    </row>
    <row r="116" spans="1:1" x14ac:dyDescent="0.3">
      <c r="A116" s="40"/>
    </row>
    <row r="117" spans="1:1" x14ac:dyDescent="0.3">
      <c r="A117" s="40"/>
    </row>
    <row r="118" spans="1:1" x14ac:dyDescent="0.3">
      <c r="A118" s="40"/>
    </row>
    <row r="119" spans="1:1" x14ac:dyDescent="0.3">
      <c r="A119" s="40"/>
    </row>
    <row r="120" spans="1:1" x14ac:dyDescent="0.3">
      <c r="A120" s="40"/>
    </row>
    <row r="121" spans="1:1" x14ac:dyDescent="0.3">
      <c r="A121" s="40"/>
    </row>
    <row r="122" spans="1:1" x14ac:dyDescent="0.3">
      <c r="A122" s="40"/>
    </row>
    <row r="123" spans="1:1" x14ac:dyDescent="0.3">
      <c r="A123" s="40"/>
    </row>
    <row r="124" spans="1:1" x14ac:dyDescent="0.3">
      <c r="A124" s="40"/>
    </row>
    <row r="125" spans="1:1" x14ac:dyDescent="0.3">
      <c r="A125" s="40"/>
    </row>
    <row r="126" spans="1:1" x14ac:dyDescent="0.3">
      <c r="A126" s="40"/>
    </row>
    <row r="127" spans="1:1" x14ac:dyDescent="0.3">
      <c r="A127" s="40"/>
    </row>
  </sheetData>
  <mergeCells count="73">
    <mergeCell ref="A42:A43"/>
    <mergeCell ref="B42:B43"/>
    <mergeCell ref="C42:C43"/>
    <mergeCell ref="D42:D43"/>
    <mergeCell ref="A34:A35"/>
    <mergeCell ref="B34:B35"/>
    <mergeCell ref="C34:C35"/>
    <mergeCell ref="D34:D35"/>
    <mergeCell ref="A40:A41"/>
    <mergeCell ref="B40:B41"/>
    <mergeCell ref="C40:C41"/>
    <mergeCell ref="D40:D41"/>
    <mergeCell ref="A36:A37"/>
    <mergeCell ref="B36:B37"/>
    <mergeCell ref="C36:C37"/>
    <mergeCell ref="D36:D37"/>
    <mergeCell ref="A38:A39"/>
    <mergeCell ref="B38:B39"/>
    <mergeCell ref="C38:C39"/>
    <mergeCell ref="D38:D39"/>
    <mergeCell ref="A32:A33"/>
    <mergeCell ref="B32:B33"/>
    <mergeCell ref="C32:C33"/>
    <mergeCell ref="D32:D33"/>
    <mergeCell ref="C13:C14"/>
    <mergeCell ref="D13:D14"/>
    <mergeCell ref="C25:C26"/>
    <mergeCell ref="D25:D26"/>
    <mergeCell ref="A20:A21"/>
    <mergeCell ref="B20:B21"/>
    <mergeCell ref="A23:A24"/>
    <mergeCell ref="B23:B24"/>
    <mergeCell ref="C23:C24"/>
    <mergeCell ref="C20:C21"/>
    <mergeCell ref="D20:D21"/>
    <mergeCell ref="D23:D24"/>
    <mergeCell ref="A25:A26"/>
    <mergeCell ref="B25:B26"/>
    <mergeCell ref="O13:O14"/>
    <mergeCell ref="D15:O15"/>
    <mergeCell ref="I13:I14"/>
    <mergeCell ref="J13:J14"/>
    <mergeCell ref="K13:K14"/>
    <mergeCell ref="L13:L14"/>
    <mergeCell ref="M13:M14"/>
    <mergeCell ref="N13:N14"/>
    <mergeCell ref="H13:H14"/>
    <mergeCell ref="E13:E14"/>
    <mergeCell ref="F13:F14"/>
    <mergeCell ref="G13:G14"/>
    <mergeCell ref="D16:D17"/>
    <mergeCell ref="D31:O31"/>
    <mergeCell ref="A27:A28"/>
    <mergeCell ref="B27:B28"/>
    <mergeCell ref="C27:C28"/>
    <mergeCell ref="D27:D28"/>
    <mergeCell ref="A29:A30"/>
    <mergeCell ref="B29:B30"/>
    <mergeCell ref="C29:C30"/>
    <mergeCell ref="D29:D30"/>
    <mergeCell ref="D22:O22"/>
    <mergeCell ref="A10:O10"/>
    <mergeCell ref="A11:O11"/>
    <mergeCell ref="I1:K1"/>
    <mergeCell ref="A9:O9"/>
    <mergeCell ref="A18:A19"/>
    <mergeCell ref="B18:B19"/>
    <mergeCell ref="C18:C19"/>
    <mergeCell ref="D18:D19"/>
    <mergeCell ref="A16:A17"/>
    <mergeCell ref="B16:B17"/>
    <mergeCell ref="C16:C17"/>
    <mergeCell ref="A13:B13"/>
  </mergeCells>
  <pageMargins left="0.48" right="0.34" top="0.28999999999999998" bottom="0.71" header="0.59" footer="0.23"/>
  <pageSetup paperSize="9" scale="7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96"/>
  <sheetViews>
    <sheetView topLeftCell="F1" zoomScale="90" zoomScaleNormal="90" workbookViewId="0">
      <selection activeCell="U3" sqref="U3"/>
    </sheetView>
  </sheetViews>
  <sheetFormatPr defaultRowHeight="14.4" x14ac:dyDescent="0.3"/>
  <cols>
    <col min="1" max="1" width="4.88671875" customWidth="1"/>
    <col min="2" max="2" width="3.88671875" customWidth="1"/>
    <col min="3" max="3" width="3.44140625" customWidth="1"/>
    <col min="4" max="4" width="3" customWidth="1"/>
    <col min="5" max="5" width="4" customWidth="1"/>
    <col min="6" max="6" width="22.6640625" customWidth="1"/>
    <col min="7" max="7" width="21.6640625" customWidth="1"/>
    <col min="8" max="8" width="5.44140625" customWidth="1"/>
    <col min="9" max="9" width="4" customWidth="1"/>
    <col min="10" max="10" width="3.44140625" customWidth="1"/>
    <col min="11" max="11" width="13" customWidth="1"/>
    <col min="12" max="12" width="5.88671875" customWidth="1"/>
    <col min="13" max="13" width="12.5546875" customWidth="1"/>
    <col min="14" max="14" width="10.6640625" customWidth="1"/>
    <col min="15" max="15" width="13" customWidth="1"/>
    <col min="16" max="16" width="12.44140625" style="17" customWidth="1"/>
    <col min="17" max="17" width="15" style="17" customWidth="1"/>
    <col min="18" max="18" width="11.6640625" customWidth="1"/>
    <col min="19" max="20" width="11.6640625" style="106" customWidth="1"/>
    <col min="21" max="21" width="11.88671875" customWidth="1"/>
    <col min="23" max="23" width="13.5546875" bestFit="1" customWidth="1"/>
    <col min="26" max="26" width="10.44140625" bestFit="1" customWidth="1"/>
  </cols>
  <sheetData>
    <row r="1" spans="1:21" s="43" customFormat="1" ht="15" customHeight="1" x14ac:dyDescent="0.3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1"/>
      <c r="O1" s="42"/>
      <c r="P1" s="42"/>
      <c r="Q1" s="114"/>
      <c r="R1" s="42"/>
      <c r="S1" s="108"/>
      <c r="T1" s="108"/>
      <c r="U1" s="129" t="s">
        <v>191</v>
      </c>
    </row>
    <row r="2" spans="1:21" s="121" customFormat="1" ht="15" customHeight="1" x14ac:dyDescent="0.3">
      <c r="N2" s="91"/>
      <c r="O2" s="135"/>
      <c r="P2" s="135"/>
      <c r="Q2" s="135"/>
      <c r="R2" s="135"/>
      <c r="S2" s="135"/>
      <c r="T2" s="135"/>
      <c r="U2" s="129" t="s">
        <v>200</v>
      </c>
    </row>
    <row r="3" spans="1:21" ht="16.5" customHeight="1" x14ac:dyDescent="0.3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1"/>
      <c r="O3" s="42"/>
      <c r="P3" s="174"/>
      <c r="Q3" s="174"/>
      <c r="R3" s="42"/>
      <c r="S3" s="108"/>
      <c r="T3" s="108"/>
      <c r="U3" s="129" t="s">
        <v>201</v>
      </c>
    </row>
    <row r="4" spans="1:2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91"/>
      <c r="O4" s="175"/>
      <c r="P4" s="175"/>
      <c r="Q4" s="175"/>
      <c r="R4" s="42"/>
      <c r="S4" s="108"/>
      <c r="T4" s="108"/>
      <c r="U4" s="129"/>
    </row>
    <row r="5" spans="1:2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91"/>
      <c r="O5" s="42"/>
      <c r="P5" s="42"/>
      <c r="Q5" s="114"/>
      <c r="R5" s="42"/>
      <c r="S5" s="108"/>
      <c r="T5" s="108"/>
      <c r="U5" s="46" t="s">
        <v>192</v>
      </c>
    </row>
    <row r="6" spans="1:2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91"/>
      <c r="O6" s="42"/>
      <c r="P6" s="42"/>
      <c r="Q6" s="114"/>
      <c r="R6" s="42"/>
      <c r="S6" s="108"/>
      <c r="T6" s="108"/>
      <c r="U6" s="46" t="s">
        <v>187</v>
      </c>
    </row>
    <row r="7" spans="1:21" ht="11.25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5"/>
      <c r="O7" s="15"/>
      <c r="P7" s="15"/>
      <c r="Q7" s="1"/>
      <c r="R7" s="1"/>
      <c r="S7" s="1"/>
      <c r="T7" s="1"/>
      <c r="U7" s="46" t="s">
        <v>188</v>
      </c>
    </row>
    <row r="8" spans="1:21" hidden="1" x14ac:dyDescent="0.3">
      <c r="A8" s="1"/>
      <c r="B8" s="1"/>
      <c r="C8" s="1"/>
      <c r="D8" s="16"/>
      <c r="E8" s="16"/>
      <c r="F8" s="16"/>
      <c r="G8" s="16"/>
      <c r="H8" s="16"/>
      <c r="I8" s="16"/>
      <c r="J8" s="16"/>
      <c r="K8" s="16"/>
      <c r="L8" s="16"/>
      <c r="M8" s="19"/>
      <c r="N8" s="16"/>
      <c r="O8" s="16"/>
      <c r="P8" s="16"/>
      <c r="Q8" s="113"/>
      <c r="R8" s="94"/>
      <c r="S8" s="107"/>
      <c r="T8" s="107"/>
      <c r="U8" s="94"/>
    </row>
    <row r="9" spans="1:21" ht="17.25" customHeight="1" x14ac:dyDescent="0.3">
      <c r="A9" s="158" t="s">
        <v>25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</row>
    <row r="10" spans="1:21" ht="15.75" customHeight="1" x14ac:dyDescent="0.3">
      <c r="A10" s="20"/>
      <c r="B10" s="92"/>
      <c r="C10" s="92"/>
      <c r="D10" s="92"/>
      <c r="E10" s="92"/>
      <c r="F10" s="155" t="s">
        <v>193</v>
      </c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</row>
    <row r="11" spans="1:21" ht="15.6" x14ac:dyDescent="0.3">
      <c r="A11" s="156" t="s">
        <v>72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</row>
    <row r="12" spans="1:21" x14ac:dyDescent="0.3">
      <c r="A12" s="1"/>
      <c r="B12" s="1"/>
      <c r="C12" s="1"/>
      <c r="D12" s="16"/>
      <c r="E12" s="16"/>
      <c r="F12" s="16"/>
      <c r="G12" s="16"/>
      <c r="H12" s="16"/>
      <c r="I12" s="16"/>
      <c r="J12" s="16"/>
      <c r="K12" s="47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1:21" ht="46.5" customHeight="1" x14ac:dyDescent="0.3">
      <c r="A13" s="176" t="s">
        <v>1</v>
      </c>
      <c r="B13" s="177"/>
      <c r="C13" s="177"/>
      <c r="D13" s="177"/>
      <c r="E13" s="178"/>
      <c r="F13" s="168" t="s">
        <v>26</v>
      </c>
      <c r="G13" s="168" t="s">
        <v>27</v>
      </c>
      <c r="H13" s="180" t="s">
        <v>28</v>
      </c>
      <c r="I13" s="180"/>
      <c r="J13" s="180"/>
      <c r="K13" s="180"/>
      <c r="L13" s="180"/>
      <c r="M13" s="181" t="s">
        <v>29</v>
      </c>
      <c r="N13" s="182"/>
      <c r="O13" s="182"/>
      <c r="P13" s="182"/>
      <c r="Q13" s="182"/>
      <c r="R13" s="182"/>
      <c r="S13" s="182"/>
      <c r="T13" s="182"/>
      <c r="U13" s="183"/>
    </row>
    <row r="14" spans="1:21" ht="23.25" customHeight="1" x14ac:dyDescent="0.3">
      <c r="A14" s="96" t="s">
        <v>7</v>
      </c>
      <c r="B14" s="96" t="s">
        <v>8</v>
      </c>
      <c r="C14" s="96" t="s">
        <v>30</v>
      </c>
      <c r="D14" s="96" t="s">
        <v>31</v>
      </c>
      <c r="E14" s="96" t="s">
        <v>50</v>
      </c>
      <c r="F14" s="179" t="s">
        <v>10</v>
      </c>
      <c r="G14" s="168"/>
      <c r="H14" s="124" t="s">
        <v>2</v>
      </c>
      <c r="I14" s="124" t="s">
        <v>32</v>
      </c>
      <c r="J14" s="124" t="s">
        <v>33</v>
      </c>
      <c r="K14" s="124" t="s">
        <v>34</v>
      </c>
      <c r="L14" s="124" t="s">
        <v>35</v>
      </c>
      <c r="M14" s="48" t="s">
        <v>6</v>
      </c>
      <c r="N14" s="48" t="s">
        <v>24</v>
      </c>
      <c r="O14" s="48" t="s">
        <v>52</v>
      </c>
      <c r="P14" s="48" t="s">
        <v>53</v>
      </c>
      <c r="Q14" s="48" t="s">
        <v>54</v>
      </c>
      <c r="R14" s="48" t="s">
        <v>104</v>
      </c>
      <c r="S14" s="48" t="s">
        <v>109</v>
      </c>
      <c r="T14" s="48" t="s">
        <v>177</v>
      </c>
      <c r="U14" s="48" t="s">
        <v>178</v>
      </c>
    </row>
    <row r="15" spans="1:21" ht="15" customHeight="1" x14ac:dyDescent="0.3">
      <c r="A15" s="184" t="s">
        <v>11</v>
      </c>
      <c r="B15" s="187"/>
      <c r="C15" s="190"/>
      <c r="D15" s="190"/>
      <c r="E15" s="190"/>
      <c r="F15" s="193" t="s">
        <v>194</v>
      </c>
      <c r="G15" s="123" t="s">
        <v>36</v>
      </c>
      <c r="H15" s="49"/>
      <c r="I15" s="49"/>
      <c r="J15" s="49"/>
      <c r="K15" s="49"/>
      <c r="L15" s="49"/>
      <c r="M15" s="50">
        <v>141400.29999999999</v>
      </c>
      <c r="N15" s="50">
        <f t="shared" ref="N15:U15" si="0">N16+N17+N18</f>
        <v>191663.77000000002</v>
      </c>
      <c r="O15" s="50">
        <f t="shared" si="0"/>
        <v>144002.52259000001</v>
      </c>
      <c r="P15" s="50">
        <f>P16+P17+P18+P19</f>
        <v>144633.23848</v>
      </c>
      <c r="Q15" s="50">
        <f>Q16+Q17+Q18+Q19</f>
        <v>212648.59999999998</v>
      </c>
      <c r="R15" s="50">
        <f t="shared" si="0"/>
        <v>215015.4</v>
      </c>
      <c r="S15" s="50">
        <f t="shared" si="0"/>
        <v>205762.7</v>
      </c>
      <c r="T15" s="50">
        <f t="shared" si="0"/>
        <v>205711.2</v>
      </c>
      <c r="U15" s="50">
        <f t="shared" si="0"/>
        <v>207281.4</v>
      </c>
    </row>
    <row r="16" spans="1:21" ht="54.75" customHeight="1" x14ac:dyDescent="0.3">
      <c r="A16" s="185"/>
      <c r="B16" s="188"/>
      <c r="C16" s="191"/>
      <c r="D16" s="191"/>
      <c r="E16" s="191"/>
      <c r="F16" s="194"/>
      <c r="G16" s="61" t="s">
        <v>37</v>
      </c>
      <c r="H16" s="49">
        <v>938</v>
      </c>
      <c r="I16" s="49"/>
      <c r="J16" s="49"/>
      <c r="K16" s="49"/>
      <c r="L16" s="49"/>
      <c r="M16" s="51">
        <f>M20+M27+M45+M65</f>
        <v>140939.6</v>
      </c>
      <c r="N16" s="51">
        <f>N20+N27+N45+N65+N53</f>
        <v>191663.77000000002</v>
      </c>
      <c r="O16" s="51">
        <f>O20+O27+O45+O65+O56+0.1</f>
        <v>144002.52259000001</v>
      </c>
      <c r="P16" s="51">
        <f>P20+P27+P45+P65+P56</f>
        <v>141689.93848000001</v>
      </c>
      <c r="Q16" s="51">
        <f>Q20+Q27+Q45+Q65+Q56</f>
        <v>209108.09999999998</v>
      </c>
      <c r="R16" s="51">
        <f>R20+R27+R45+R65+R56</f>
        <v>215015.4</v>
      </c>
      <c r="S16" s="51">
        <f t="shared" ref="S16:T16" si="1">S20+S27+S45+S65+S56</f>
        <v>205762.7</v>
      </c>
      <c r="T16" s="51">
        <f t="shared" si="1"/>
        <v>205711.2</v>
      </c>
      <c r="U16" s="51">
        <f>U20+U27+U45+U65+U56</f>
        <v>207281.4</v>
      </c>
    </row>
    <row r="17" spans="1:21" ht="28.5" customHeight="1" x14ac:dyDescent="0.3">
      <c r="A17" s="185"/>
      <c r="B17" s="188"/>
      <c r="C17" s="191"/>
      <c r="D17" s="191"/>
      <c r="E17" s="191"/>
      <c r="F17" s="194"/>
      <c r="G17" s="61" t="s">
        <v>111</v>
      </c>
      <c r="H17" s="49" t="s">
        <v>112</v>
      </c>
      <c r="I17" s="49"/>
      <c r="J17" s="49"/>
      <c r="K17" s="49"/>
      <c r="L17" s="49"/>
      <c r="M17" s="51">
        <f t="shared" ref="M17:U17" si="2">M54</f>
        <v>0.7</v>
      </c>
      <c r="N17" s="51">
        <f t="shared" si="2"/>
        <v>0</v>
      </c>
      <c r="O17" s="51">
        <f t="shared" si="2"/>
        <v>0</v>
      </c>
      <c r="P17" s="51">
        <f>P54</f>
        <v>2663.3</v>
      </c>
      <c r="Q17" s="51">
        <f t="shared" si="2"/>
        <v>3272.5</v>
      </c>
      <c r="R17" s="51">
        <f>R54</f>
        <v>0</v>
      </c>
      <c r="S17" s="51">
        <f t="shared" ref="S17:T18" si="3">S54</f>
        <v>0</v>
      </c>
      <c r="T17" s="51">
        <f t="shared" si="3"/>
        <v>0</v>
      </c>
      <c r="U17" s="51">
        <f t="shared" si="2"/>
        <v>0</v>
      </c>
    </row>
    <row r="18" spans="1:21" ht="33" customHeight="1" x14ac:dyDescent="0.3">
      <c r="A18" s="185"/>
      <c r="B18" s="188"/>
      <c r="C18" s="191"/>
      <c r="D18" s="191"/>
      <c r="E18" s="191"/>
      <c r="F18" s="194"/>
      <c r="G18" s="61" t="s">
        <v>113</v>
      </c>
      <c r="H18" s="49" t="s">
        <v>114</v>
      </c>
      <c r="I18" s="49"/>
      <c r="J18" s="49"/>
      <c r="K18" s="49"/>
      <c r="L18" s="49"/>
      <c r="M18" s="51">
        <v>460</v>
      </c>
      <c r="N18" s="51">
        <f>N55</f>
        <v>0</v>
      </c>
      <c r="O18" s="51">
        <f>O55</f>
        <v>0</v>
      </c>
      <c r="P18" s="51">
        <f>P55</f>
        <v>0</v>
      </c>
      <c r="Q18" s="51">
        <f>Q55</f>
        <v>0</v>
      </c>
      <c r="R18" s="51">
        <f>R55</f>
        <v>0</v>
      </c>
      <c r="S18" s="51">
        <f t="shared" si="3"/>
        <v>0</v>
      </c>
      <c r="T18" s="51">
        <f t="shared" si="3"/>
        <v>0</v>
      </c>
      <c r="U18" s="51">
        <f>U55</f>
        <v>0</v>
      </c>
    </row>
    <row r="19" spans="1:21" ht="30.75" customHeight="1" x14ac:dyDescent="0.3">
      <c r="A19" s="186"/>
      <c r="B19" s="189"/>
      <c r="C19" s="192"/>
      <c r="D19" s="192"/>
      <c r="E19" s="192"/>
      <c r="F19" s="195"/>
      <c r="G19" s="61" t="s">
        <v>163</v>
      </c>
      <c r="H19" s="49" t="s">
        <v>164</v>
      </c>
      <c r="I19" s="49"/>
      <c r="J19" s="49"/>
      <c r="K19" s="49"/>
      <c r="L19" s="49"/>
      <c r="M19" s="51">
        <v>0</v>
      </c>
      <c r="N19" s="51">
        <v>0</v>
      </c>
      <c r="O19" s="51">
        <v>0</v>
      </c>
      <c r="P19" s="51">
        <f>P57</f>
        <v>280</v>
      </c>
      <c r="Q19" s="51">
        <f>Q57</f>
        <v>268</v>
      </c>
      <c r="R19" s="51">
        <v>0</v>
      </c>
      <c r="S19" s="51">
        <v>0</v>
      </c>
      <c r="T19" s="51">
        <v>0</v>
      </c>
      <c r="U19" s="51">
        <v>0</v>
      </c>
    </row>
    <row r="20" spans="1:21" ht="19.5" customHeight="1" x14ac:dyDescent="0.3">
      <c r="A20" s="196" t="s">
        <v>11</v>
      </c>
      <c r="B20" s="196" t="s">
        <v>17</v>
      </c>
      <c r="C20" s="196"/>
      <c r="D20" s="196"/>
      <c r="E20" s="187"/>
      <c r="F20" s="203" t="s">
        <v>91</v>
      </c>
      <c r="G20" s="123" t="s">
        <v>36</v>
      </c>
      <c r="H20" s="130"/>
      <c r="I20" s="130"/>
      <c r="J20" s="130"/>
      <c r="K20" s="130"/>
      <c r="L20" s="130"/>
      <c r="M20" s="149">
        <f t="shared" ref="M20:U20" si="4">M21</f>
        <v>78909</v>
      </c>
      <c r="N20" s="149">
        <f t="shared" si="4"/>
        <v>79327.899999999994</v>
      </c>
      <c r="O20" s="149">
        <f t="shared" si="4"/>
        <v>81588.120320000002</v>
      </c>
      <c r="P20" s="149">
        <f t="shared" si="4"/>
        <v>92083.700000000012</v>
      </c>
      <c r="Q20" s="149">
        <f t="shared" si="4"/>
        <v>137162.9</v>
      </c>
      <c r="R20" s="149">
        <f t="shared" si="4"/>
        <v>147718.70000000001</v>
      </c>
      <c r="S20" s="149">
        <f t="shared" si="4"/>
        <v>137777.70000000001</v>
      </c>
      <c r="T20" s="149">
        <f t="shared" si="4"/>
        <v>137777.70000000001</v>
      </c>
      <c r="U20" s="149">
        <f t="shared" si="4"/>
        <v>140410</v>
      </c>
    </row>
    <row r="21" spans="1:21" ht="39.75" customHeight="1" x14ac:dyDescent="0.3">
      <c r="A21" s="196"/>
      <c r="B21" s="196"/>
      <c r="C21" s="196"/>
      <c r="D21" s="196"/>
      <c r="E21" s="189"/>
      <c r="F21" s="203"/>
      <c r="G21" s="61" t="s">
        <v>38</v>
      </c>
      <c r="H21" s="57">
        <v>938</v>
      </c>
      <c r="I21" s="57" t="s">
        <v>39</v>
      </c>
      <c r="J21" s="57" t="s">
        <v>40</v>
      </c>
      <c r="K21" s="57"/>
      <c r="L21" s="57"/>
      <c r="M21" s="150">
        <f t="shared" ref="M21:U21" si="5">SUM(M22:M26)</f>
        <v>78909</v>
      </c>
      <c r="N21" s="150">
        <f t="shared" si="5"/>
        <v>79327.899999999994</v>
      </c>
      <c r="O21" s="150">
        <f t="shared" si="5"/>
        <v>81588.120320000002</v>
      </c>
      <c r="P21" s="150">
        <f t="shared" si="5"/>
        <v>92083.700000000012</v>
      </c>
      <c r="Q21" s="150">
        <f t="shared" si="5"/>
        <v>137162.9</v>
      </c>
      <c r="R21" s="150">
        <f>SUM(R22:R26)</f>
        <v>147718.70000000001</v>
      </c>
      <c r="S21" s="150">
        <f t="shared" ref="S21:T21" si="6">SUM(S22:S26)</f>
        <v>137777.70000000001</v>
      </c>
      <c r="T21" s="150">
        <f t="shared" si="6"/>
        <v>137777.70000000001</v>
      </c>
      <c r="U21" s="150">
        <f t="shared" si="5"/>
        <v>140410</v>
      </c>
    </row>
    <row r="22" spans="1:21" ht="32.25" customHeight="1" x14ac:dyDescent="0.3">
      <c r="A22" s="162" t="s">
        <v>11</v>
      </c>
      <c r="B22" s="162" t="s">
        <v>17</v>
      </c>
      <c r="C22" s="162" t="s">
        <v>40</v>
      </c>
      <c r="D22" s="162"/>
      <c r="E22" s="162"/>
      <c r="F22" s="201" t="s">
        <v>82</v>
      </c>
      <c r="G22" s="197" t="s">
        <v>38</v>
      </c>
      <c r="H22" s="52" t="s">
        <v>12</v>
      </c>
      <c r="I22" s="52" t="s">
        <v>39</v>
      </c>
      <c r="J22" s="52" t="s">
        <v>40</v>
      </c>
      <c r="K22" s="53" t="s">
        <v>62</v>
      </c>
      <c r="L22" s="124" t="s">
        <v>115</v>
      </c>
      <c r="M22" s="54">
        <v>2012.6</v>
      </c>
      <c r="N22" s="55">
        <f>491.3+53.2+7.7+1226.7+400.5</f>
        <v>2179.4</v>
      </c>
      <c r="O22" s="54">
        <f>52.16+20.701+8.551+1640.85+2.15</f>
        <v>1724.412</v>
      </c>
      <c r="P22" s="54">
        <v>2817.1</v>
      </c>
      <c r="Q22" s="54">
        <v>4802.8999999999996</v>
      </c>
      <c r="R22" s="54">
        <v>413.5</v>
      </c>
      <c r="S22" s="54">
        <v>413.5</v>
      </c>
      <c r="T22" s="54">
        <v>413.5</v>
      </c>
      <c r="U22" s="54">
        <v>3045.8</v>
      </c>
    </row>
    <row r="23" spans="1:21" ht="24.75" customHeight="1" x14ac:dyDescent="0.3">
      <c r="A23" s="163"/>
      <c r="B23" s="163"/>
      <c r="C23" s="163"/>
      <c r="D23" s="163"/>
      <c r="E23" s="163"/>
      <c r="F23" s="202"/>
      <c r="G23" s="199"/>
      <c r="H23" s="52" t="s">
        <v>12</v>
      </c>
      <c r="I23" s="52" t="s">
        <v>39</v>
      </c>
      <c r="J23" s="52" t="s">
        <v>40</v>
      </c>
      <c r="K23" s="53" t="s">
        <v>116</v>
      </c>
      <c r="L23" s="124">
        <v>240</v>
      </c>
      <c r="M23" s="54">
        <v>0</v>
      </c>
      <c r="N23" s="55">
        <v>308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</row>
    <row r="24" spans="1:21" s="41" customFormat="1" ht="27" customHeight="1" x14ac:dyDescent="0.3">
      <c r="A24" s="162" t="s">
        <v>11</v>
      </c>
      <c r="B24" s="162" t="s">
        <v>17</v>
      </c>
      <c r="C24" s="162" t="s">
        <v>41</v>
      </c>
      <c r="D24" s="162"/>
      <c r="E24" s="162"/>
      <c r="F24" s="197" t="s">
        <v>83</v>
      </c>
      <c r="G24" s="197" t="s">
        <v>38</v>
      </c>
      <c r="H24" s="56">
        <v>938</v>
      </c>
      <c r="I24" s="57" t="s">
        <v>39</v>
      </c>
      <c r="J24" s="57" t="s">
        <v>40</v>
      </c>
      <c r="K24" s="57" t="s">
        <v>63</v>
      </c>
      <c r="L24" s="124">
        <v>620</v>
      </c>
      <c r="M24" s="54">
        <v>76896.399999999994</v>
      </c>
      <c r="N24" s="55">
        <f>76410.5+430</f>
        <v>76840.5</v>
      </c>
      <c r="O24" s="54">
        <f>79814.04682</f>
        <v>79814.046820000003</v>
      </c>
      <c r="P24" s="54">
        <v>89266.6</v>
      </c>
      <c r="Q24" s="54">
        <v>131139.79999999999</v>
      </c>
      <c r="R24" s="54">
        <v>147305.20000000001</v>
      </c>
      <c r="S24" s="54">
        <v>137364.20000000001</v>
      </c>
      <c r="T24" s="54">
        <v>137364.20000000001</v>
      </c>
      <c r="U24" s="54">
        <v>137364.20000000001</v>
      </c>
    </row>
    <row r="25" spans="1:21" s="112" customFormat="1" ht="25.5" customHeight="1" x14ac:dyDescent="0.3">
      <c r="A25" s="200"/>
      <c r="B25" s="200"/>
      <c r="C25" s="200"/>
      <c r="D25" s="200"/>
      <c r="E25" s="200"/>
      <c r="F25" s="198"/>
      <c r="G25" s="198"/>
      <c r="H25" s="56">
        <v>938</v>
      </c>
      <c r="I25" s="57" t="s">
        <v>39</v>
      </c>
      <c r="J25" s="57" t="s">
        <v>40</v>
      </c>
      <c r="K25" s="57" t="s">
        <v>179</v>
      </c>
      <c r="L25" s="124">
        <v>620</v>
      </c>
      <c r="M25" s="54">
        <v>0</v>
      </c>
      <c r="N25" s="54">
        <v>0</v>
      </c>
      <c r="O25" s="54">
        <v>0</v>
      </c>
      <c r="P25" s="54">
        <v>0</v>
      </c>
      <c r="Q25" s="54">
        <v>1220.2</v>
      </c>
      <c r="R25" s="54">
        <v>0</v>
      </c>
      <c r="S25" s="54">
        <v>0</v>
      </c>
      <c r="T25" s="54">
        <v>0</v>
      </c>
      <c r="U25" s="54">
        <v>0</v>
      </c>
    </row>
    <row r="26" spans="1:21" s="41" customFormat="1" ht="24" customHeight="1" x14ac:dyDescent="0.3">
      <c r="A26" s="163"/>
      <c r="B26" s="163"/>
      <c r="C26" s="163"/>
      <c r="D26" s="163"/>
      <c r="E26" s="163"/>
      <c r="F26" s="199"/>
      <c r="G26" s="199"/>
      <c r="H26" s="56">
        <v>938</v>
      </c>
      <c r="I26" s="57" t="s">
        <v>39</v>
      </c>
      <c r="J26" s="57" t="s">
        <v>40</v>
      </c>
      <c r="K26" s="57" t="s">
        <v>117</v>
      </c>
      <c r="L26" s="124">
        <v>620</v>
      </c>
      <c r="M26" s="54">
        <v>0</v>
      </c>
      <c r="N26" s="54">
        <v>0</v>
      </c>
      <c r="O26" s="54">
        <v>49.661499999999997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</row>
    <row r="27" spans="1:21" ht="19.5" customHeight="1" x14ac:dyDescent="0.3">
      <c r="A27" s="196" t="s">
        <v>11</v>
      </c>
      <c r="B27" s="196" t="s">
        <v>16</v>
      </c>
      <c r="C27" s="171"/>
      <c r="D27" s="171"/>
      <c r="E27" s="162"/>
      <c r="F27" s="203" t="s">
        <v>55</v>
      </c>
      <c r="G27" s="123" t="s">
        <v>36</v>
      </c>
      <c r="H27" s="57"/>
      <c r="I27" s="57"/>
      <c r="J27" s="57"/>
      <c r="K27" s="56"/>
      <c r="L27" s="56"/>
      <c r="M27" s="58">
        <f t="shared" ref="M27:U27" si="7">M28</f>
        <v>30365.8</v>
      </c>
      <c r="N27" s="58">
        <f t="shared" si="7"/>
        <v>38223.79</v>
      </c>
      <c r="O27" s="58">
        <f t="shared" si="7"/>
        <v>27812.064999999999</v>
      </c>
      <c r="P27" s="58">
        <f t="shared" si="7"/>
        <v>29837.638480000001</v>
      </c>
      <c r="Q27" s="58">
        <f t="shared" si="7"/>
        <v>44115</v>
      </c>
      <c r="R27" s="58">
        <f t="shared" si="7"/>
        <v>44579.899999999994</v>
      </c>
      <c r="S27" s="58">
        <f t="shared" si="7"/>
        <v>44382.7</v>
      </c>
      <c r="T27" s="58">
        <f t="shared" si="7"/>
        <v>44395.6</v>
      </c>
      <c r="U27" s="58">
        <f t="shared" si="7"/>
        <v>44154.6</v>
      </c>
    </row>
    <row r="28" spans="1:21" ht="57" customHeight="1" x14ac:dyDescent="0.3">
      <c r="A28" s="196"/>
      <c r="B28" s="196"/>
      <c r="C28" s="171"/>
      <c r="D28" s="171"/>
      <c r="E28" s="163"/>
      <c r="F28" s="203"/>
      <c r="G28" s="61" t="s">
        <v>38</v>
      </c>
      <c r="H28" s="57" t="s">
        <v>12</v>
      </c>
      <c r="I28" s="57" t="s">
        <v>39</v>
      </c>
      <c r="J28" s="57" t="s">
        <v>40</v>
      </c>
      <c r="K28" s="56"/>
      <c r="L28" s="56"/>
      <c r="M28" s="54">
        <f>SUM(M29:M44)</f>
        <v>30365.8</v>
      </c>
      <c r="N28" s="54">
        <f t="shared" ref="N28:U28" si="8">SUM(N29:N44)</f>
        <v>38223.79</v>
      </c>
      <c r="O28" s="54">
        <f t="shared" si="8"/>
        <v>27812.064999999999</v>
      </c>
      <c r="P28" s="54">
        <f t="shared" si="8"/>
        <v>29837.638480000001</v>
      </c>
      <c r="Q28" s="54">
        <f t="shared" si="8"/>
        <v>44115</v>
      </c>
      <c r="R28" s="54">
        <f t="shared" si="8"/>
        <v>44579.899999999994</v>
      </c>
      <c r="S28" s="54">
        <f t="shared" si="8"/>
        <v>44382.7</v>
      </c>
      <c r="T28" s="54">
        <f t="shared" si="8"/>
        <v>44395.6</v>
      </c>
      <c r="U28" s="54">
        <f t="shared" si="8"/>
        <v>44154.6</v>
      </c>
    </row>
    <row r="29" spans="1:21" ht="33.75" customHeight="1" x14ac:dyDescent="0.3">
      <c r="A29" s="162" t="s">
        <v>11</v>
      </c>
      <c r="B29" s="162" t="s">
        <v>16</v>
      </c>
      <c r="C29" s="162" t="s">
        <v>40</v>
      </c>
      <c r="D29" s="162"/>
      <c r="E29" s="162"/>
      <c r="F29" s="197" t="s">
        <v>85</v>
      </c>
      <c r="G29" s="197" t="s">
        <v>38</v>
      </c>
      <c r="H29" s="57" t="s">
        <v>12</v>
      </c>
      <c r="I29" s="57" t="s">
        <v>39</v>
      </c>
      <c r="J29" s="57" t="s">
        <v>40</v>
      </c>
      <c r="K29" s="57" t="s">
        <v>64</v>
      </c>
      <c r="L29" s="124">
        <v>610</v>
      </c>
      <c r="M29" s="54">
        <f>29173.3+68.3</f>
        <v>29241.599999999999</v>
      </c>
      <c r="N29" s="55">
        <v>24473</v>
      </c>
      <c r="O29" s="54">
        <v>27052.082999999999</v>
      </c>
      <c r="P29" s="54">
        <v>28878.400000000001</v>
      </c>
      <c r="Q29" s="54">
        <v>43306.9</v>
      </c>
      <c r="R29" s="54">
        <v>44154.6</v>
      </c>
      <c r="S29" s="54">
        <v>44154.6</v>
      </c>
      <c r="T29" s="54">
        <v>44154.6</v>
      </c>
      <c r="U29" s="54">
        <v>44154.6</v>
      </c>
    </row>
    <row r="30" spans="1:21" ht="20.25" hidden="1" customHeight="1" x14ac:dyDescent="0.3">
      <c r="A30" s="200"/>
      <c r="B30" s="200"/>
      <c r="C30" s="200"/>
      <c r="D30" s="200"/>
      <c r="E30" s="200"/>
      <c r="F30" s="198"/>
      <c r="G30" s="198"/>
      <c r="H30" s="57" t="s">
        <v>12</v>
      </c>
      <c r="I30" s="57" t="s">
        <v>39</v>
      </c>
      <c r="J30" s="57" t="s">
        <v>40</v>
      </c>
      <c r="K30" s="57" t="s">
        <v>64</v>
      </c>
      <c r="L30" s="124">
        <v>610</v>
      </c>
      <c r="M30" s="54"/>
      <c r="N30" s="55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</row>
    <row r="31" spans="1:21" ht="30" customHeight="1" x14ac:dyDescent="0.3">
      <c r="A31" s="163"/>
      <c r="B31" s="163"/>
      <c r="C31" s="163"/>
      <c r="D31" s="163"/>
      <c r="E31" s="163"/>
      <c r="F31" s="199"/>
      <c r="G31" s="199"/>
      <c r="H31" s="57" t="s">
        <v>12</v>
      </c>
      <c r="I31" s="57" t="s">
        <v>39</v>
      </c>
      <c r="J31" s="57" t="s">
        <v>40</v>
      </c>
      <c r="K31" s="57" t="s">
        <v>118</v>
      </c>
      <c r="L31" s="124">
        <v>610</v>
      </c>
      <c r="M31" s="54">
        <v>75</v>
      </c>
      <c r="N31" s="55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</row>
    <row r="32" spans="1:21" ht="17.25" customHeight="1" x14ac:dyDescent="0.3">
      <c r="A32" s="162" t="s">
        <v>11</v>
      </c>
      <c r="B32" s="162" t="s">
        <v>16</v>
      </c>
      <c r="C32" s="162" t="s">
        <v>41</v>
      </c>
      <c r="D32" s="162"/>
      <c r="E32" s="162"/>
      <c r="F32" s="197" t="s">
        <v>119</v>
      </c>
      <c r="G32" s="197" t="s">
        <v>38</v>
      </c>
      <c r="H32" s="57" t="s">
        <v>12</v>
      </c>
      <c r="I32" s="57" t="s">
        <v>39</v>
      </c>
      <c r="J32" s="57" t="s">
        <v>40</v>
      </c>
      <c r="K32" s="49" t="s">
        <v>120</v>
      </c>
      <c r="L32" s="124">
        <v>610</v>
      </c>
      <c r="M32" s="54">
        <v>46</v>
      </c>
      <c r="N32" s="55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</row>
    <row r="33" spans="1:21" ht="17.25" customHeight="1" x14ac:dyDescent="0.3">
      <c r="A33" s="200"/>
      <c r="B33" s="200"/>
      <c r="C33" s="200"/>
      <c r="D33" s="200"/>
      <c r="E33" s="200"/>
      <c r="F33" s="198"/>
      <c r="G33" s="198"/>
      <c r="H33" s="57" t="s">
        <v>12</v>
      </c>
      <c r="I33" s="57" t="s">
        <v>39</v>
      </c>
      <c r="J33" s="57" t="s">
        <v>40</v>
      </c>
      <c r="K33" s="49" t="s">
        <v>121</v>
      </c>
      <c r="L33" s="124">
        <v>610</v>
      </c>
      <c r="M33" s="54">
        <v>0</v>
      </c>
      <c r="N33" s="55">
        <v>0</v>
      </c>
      <c r="O33" s="54">
        <v>0</v>
      </c>
      <c r="P33" s="54">
        <v>0</v>
      </c>
      <c r="Q33" s="54">
        <v>37.1</v>
      </c>
      <c r="R33" s="54">
        <v>36.1</v>
      </c>
      <c r="S33" s="54">
        <v>38.1</v>
      </c>
      <c r="T33" s="54">
        <v>38</v>
      </c>
      <c r="U33" s="54">
        <v>0</v>
      </c>
    </row>
    <row r="34" spans="1:21" ht="17.25" customHeight="1" x14ac:dyDescent="0.3">
      <c r="A34" s="200"/>
      <c r="B34" s="200"/>
      <c r="C34" s="200"/>
      <c r="D34" s="200"/>
      <c r="E34" s="200"/>
      <c r="F34" s="198"/>
      <c r="G34" s="198"/>
      <c r="H34" s="57" t="s">
        <v>12</v>
      </c>
      <c r="I34" s="57" t="s">
        <v>39</v>
      </c>
      <c r="J34" s="57" t="s">
        <v>40</v>
      </c>
      <c r="K34" s="49" t="s">
        <v>122</v>
      </c>
      <c r="L34" s="124">
        <v>610</v>
      </c>
      <c r="M34" s="54">
        <v>0</v>
      </c>
      <c r="N34" s="55">
        <v>0</v>
      </c>
      <c r="O34" s="54">
        <v>0</v>
      </c>
      <c r="P34" s="54">
        <v>399.23847999999998</v>
      </c>
      <c r="Q34" s="54">
        <v>291</v>
      </c>
      <c r="R34" s="54">
        <v>0</v>
      </c>
      <c r="S34" s="54">
        <v>0</v>
      </c>
      <c r="T34" s="54">
        <v>0</v>
      </c>
      <c r="U34" s="54">
        <v>0</v>
      </c>
    </row>
    <row r="35" spans="1:21" s="118" customFormat="1" ht="17.25" customHeight="1" x14ac:dyDescent="0.3">
      <c r="A35" s="200"/>
      <c r="B35" s="200"/>
      <c r="C35" s="200"/>
      <c r="D35" s="200"/>
      <c r="E35" s="200"/>
      <c r="F35" s="198"/>
      <c r="G35" s="198"/>
      <c r="H35" s="57" t="s">
        <v>12</v>
      </c>
      <c r="I35" s="57" t="s">
        <v>39</v>
      </c>
      <c r="J35" s="57" t="s">
        <v>40</v>
      </c>
      <c r="K35" s="49" t="s">
        <v>183</v>
      </c>
      <c r="L35" s="124">
        <v>610</v>
      </c>
      <c r="M35" s="54">
        <v>0</v>
      </c>
      <c r="N35" s="55">
        <v>0</v>
      </c>
      <c r="O35" s="54">
        <v>0</v>
      </c>
      <c r="P35" s="54">
        <v>0</v>
      </c>
      <c r="Q35" s="54">
        <v>0</v>
      </c>
      <c r="R35" s="151">
        <v>389.2</v>
      </c>
      <c r="S35" s="54">
        <v>190</v>
      </c>
      <c r="T35" s="54">
        <v>203</v>
      </c>
      <c r="U35" s="54">
        <v>0</v>
      </c>
    </row>
    <row r="36" spans="1:21" ht="17.25" customHeight="1" x14ac:dyDescent="0.3">
      <c r="A36" s="200"/>
      <c r="B36" s="200"/>
      <c r="C36" s="200"/>
      <c r="D36" s="200"/>
      <c r="E36" s="200"/>
      <c r="F36" s="198"/>
      <c r="G36" s="198"/>
      <c r="H36" s="57" t="s">
        <v>12</v>
      </c>
      <c r="I36" s="57" t="s">
        <v>39</v>
      </c>
      <c r="J36" s="57" t="s">
        <v>40</v>
      </c>
      <c r="K36" s="49" t="s">
        <v>123</v>
      </c>
      <c r="L36" s="124">
        <v>610</v>
      </c>
      <c r="M36" s="54">
        <v>0</v>
      </c>
      <c r="N36" s="55">
        <v>0</v>
      </c>
      <c r="O36" s="54">
        <v>399.98200000000003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</row>
    <row r="37" spans="1:21" ht="17.25" customHeight="1" x14ac:dyDescent="0.3">
      <c r="A37" s="200"/>
      <c r="B37" s="200"/>
      <c r="C37" s="200"/>
      <c r="D37" s="200"/>
      <c r="E37" s="200"/>
      <c r="F37" s="198"/>
      <c r="G37" s="198"/>
      <c r="H37" s="57" t="s">
        <v>12</v>
      </c>
      <c r="I37" s="57" t="s">
        <v>39</v>
      </c>
      <c r="J37" s="57" t="s">
        <v>40</v>
      </c>
      <c r="K37" s="49" t="s">
        <v>124</v>
      </c>
      <c r="L37" s="124">
        <v>610</v>
      </c>
      <c r="M37" s="54">
        <v>0</v>
      </c>
      <c r="N37" s="55">
        <v>270.79000000000002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</row>
    <row r="38" spans="1:21" ht="17.25" customHeight="1" x14ac:dyDescent="0.3">
      <c r="A38" s="200"/>
      <c r="B38" s="200"/>
      <c r="C38" s="200"/>
      <c r="D38" s="200"/>
      <c r="E38" s="200"/>
      <c r="F38" s="198"/>
      <c r="G38" s="198"/>
      <c r="H38" s="57" t="s">
        <v>12</v>
      </c>
      <c r="I38" s="57" t="s">
        <v>39</v>
      </c>
      <c r="J38" s="57" t="s">
        <v>67</v>
      </c>
      <c r="K38" s="49" t="s">
        <v>125</v>
      </c>
      <c r="L38" s="124">
        <v>610</v>
      </c>
      <c r="M38" s="54">
        <v>4</v>
      </c>
      <c r="N38" s="55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</row>
    <row r="39" spans="1:21" ht="17.25" customHeight="1" x14ac:dyDescent="0.3">
      <c r="A39" s="163"/>
      <c r="B39" s="163"/>
      <c r="C39" s="163"/>
      <c r="D39" s="163"/>
      <c r="E39" s="163"/>
      <c r="F39" s="199"/>
      <c r="G39" s="199"/>
      <c r="H39" s="57" t="s">
        <v>12</v>
      </c>
      <c r="I39" s="57" t="s">
        <v>39</v>
      </c>
      <c r="J39" s="57" t="s">
        <v>67</v>
      </c>
      <c r="K39" s="49" t="s">
        <v>126</v>
      </c>
      <c r="L39" s="124">
        <v>610</v>
      </c>
      <c r="M39" s="54">
        <v>399.2</v>
      </c>
      <c r="N39" s="55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</row>
    <row r="40" spans="1:21" ht="22.5" customHeight="1" x14ac:dyDescent="0.3">
      <c r="A40" s="162" t="s">
        <v>11</v>
      </c>
      <c r="B40" s="162" t="s">
        <v>16</v>
      </c>
      <c r="C40" s="162" t="s">
        <v>11</v>
      </c>
      <c r="D40" s="162"/>
      <c r="E40" s="162"/>
      <c r="F40" s="197" t="s">
        <v>86</v>
      </c>
      <c r="G40" s="197" t="s">
        <v>38</v>
      </c>
      <c r="H40" s="57" t="s">
        <v>12</v>
      </c>
      <c r="I40" s="57" t="s">
        <v>39</v>
      </c>
      <c r="J40" s="57" t="s">
        <v>40</v>
      </c>
      <c r="K40" s="49" t="s">
        <v>127</v>
      </c>
      <c r="L40" s="124">
        <v>610</v>
      </c>
      <c r="M40" s="54">
        <v>400</v>
      </c>
      <c r="N40" s="55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</row>
    <row r="41" spans="1:21" ht="23.25" customHeight="1" x14ac:dyDescent="0.3">
      <c r="A41" s="200"/>
      <c r="B41" s="200"/>
      <c r="C41" s="200"/>
      <c r="D41" s="200"/>
      <c r="E41" s="200"/>
      <c r="F41" s="198"/>
      <c r="G41" s="198"/>
      <c r="H41" s="57" t="s">
        <v>12</v>
      </c>
      <c r="I41" s="57" t="s">
        <v>39</v>
      </c>
      <c r="J41" s="57" t="s">
        <v>40</v>
      </c>
      <c r="K41" s="49" t="s">
        <v>128</v>
      </c>
      <c r="L41" s="124">
        <v>610</v>
      </c>
      <c r="M41" s="54">
        <v>200</v>
      </c>
      <c r="N41" s="55">
        <v>800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</row>
    <row r="42" spans="1:21" ht="22.5" customHeight="1" x14ac:dyDescent="0.3">
      <c r="A42" s="200"/>
      <c r="B42" s="200"/>
      <c r="C42" s="200"/>
      <c r="D42" s="200"/>
      <c r="E42" s="200"/>
      <c r="F42" s="198"/>
      <c r="G42" s="198"/>
      <c r="H42" s="57" t="s">
        <v>12</v>
      </c>
      <c r="I42" s="57" t="s">
        <v>39</v>
      </c>
      <c r="J42" s="57" t="s">
        <v>40</v>
      </c>
      <c r="K42" s="49" t="s">
        <v>99</v>
      </c>
      <c r="L42" s="124">
        <v>610</v>
      </c>
      <c r="M42" s="54">
        <v>0</v>
      </c>
      <c r="N42" s="55">
        <v>0</v>
      </c>
      <c r="O42" s="54">
        <v>360</v>
      </c>
      <c r="P42" s="54">
        <v>560</v>
      </c>
      <c r="Q42" s="54">
        <v>480</v>
      </c>
      <c r="R42" s="54">
        <v>0</v>
      </c>
      <c r="S42" s="54">
        <v>0</v>
      </c>
      <c r="T42" s="54">
        <v>0</v>
      </c>
      <c r="U42" s="54">
        <v>0</v>
      </c>
    </row>
    <row r="43" spans="1:21" ht="22.5" customHeight="1" x14ac:dyDescent="0.3">
      <c r="A43" s="200"/>
      <c r="B43" s="200"/>
      <c r="C43" s="200"/>
      <c r="D43" s="200"/>
      <c r="E43" s="200"/>
      <c r="F43" s="198"/>
      <c r="G43" s="198"/>
      <c r="H43" s="57" t="s">
        <v>12</v>
      </c>
      <c r="I43" s="57" t="s">
        <v>39</v>
      </c>
      <c r="J43" s="57" t="s">
        <v>40</v>
      </c>
      <c r="K43" s="57" t="s">
        <v>129</v>
      </c>
      <c r="L43" s="124">
        <v>610</v>
      </c>
      <c r="M43" s="54">
        <v>0</v>
      </c>
      <c r="N43" s="55">
        <v>6680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0</v>
      </c>
    </row>
    <row r="44" spans="1:21" ht="22.5" customHeight="1" x14ac:dyDescent="0.3">
      <c r="A44" s="163"/>
      <c r="B44" s="163"/>
      <c r="C44" s="163"/>
      <c r="D44" s="163"/>
      <c r="E44" s="163"/>
      <c r="F44" s="199"/>
      <c r="G44" s="199"/>
      <c r="H44" s="57" t="s">
        <v>12</v>
      </c>
      <c r="I44" s="57" t="s">
        <v>39</v>
      </c>
      <c r="J44" s="57" t="s">
        <v>40</v>
      </c>
      <c r="K44" s="57" t="s">
        <v>130</v>
      </c>
      <c r="L44" s="124">
        <v>610</v>
      </c>
      <c r="M44" s="54">
        <v>0</v>
      </c>
      <c r="N44" s="55">
        <v>6000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</row>
    <row r="45" spans="1:21" x14ac:dyDescent="0.3">
      <c r="A45" s="187" t="s">
        <v>11</v>
      </c>
      <c r="B45" s="187" t="s">
        <v>42</v>
      </c>
      <c r="C45" s="162"/>
      <c r="D45" s="162"/>
      <c r="E45" s="162"/>
      <c r="F45" s="193" t="s">
        <v>57</v>
      </c>
      <c r="G45" s="123" t="s">
        <v>36</v>
      </c>
      <c r="H45" s="57"/>
      <c r="I45" s="57"/>
      <c r="J45" s="57"/>
      <c r="K45" s="56"/>
      <c r="L45" s="56"/>
      <c r="M45" s="58">
        <f t="shared" ref="M45:U45" si="9">M46</f>
        <v>7686</v>
      </c>
      <c r="N45" s="58">
        <f t="shared" si="9"/>
        <v>9376.3799999999992</v>
      </c>
      <c r="O45" s="58">
        <f t="shared" si="9"/>
        <v>11630.95825</v>
      </c>
      <c r="P45" s="58">
        <f t="shared" si="9"/>
        <v>8923</v>
      </c>
      <c r="Q45" s="58">
        <f t="shared" si="9"/>
        <v>13690.9</v>
      </c>
      <c r="R45" s="58">
        <f t="shared" si="9"/>
        <v>12011.4</v>
      </c>
      <c r="S45" s="58">
        <f t="shared" si="9"/>
        <v>12011.4</v>
      </c>
      <c r="T45" s="58">
        <f t="shared" si="9"/>
        <v>12011.4</v>
      </c>
      <c r="U45" s="58">
        <f t="shared" si="9"/>
        <v>12011.4</v>
      </c>
    </row>
    <row r="46" spans="1:21" ht="56.25" customHeight="1" x14ac:dyDescent="0.3">
      <c r="A46" s="189"/>
      <c r="B46" s="189"/>
      <c r="C46" s="163"/>
      <c r="D46" s="163"/>
      <c r="E46" s="163"/>
      <c r="F46" s="195"/>
      <c r="G46" s="61" t="s">
        <v>38</v>
      </c>
      <c r="H46" s="57" t="s">
        <v>12</v>
      </c>
      <c r="I46" s="57" t="s">
        <v>39</v>
      </c>
      <c r="J46" s="57" t="s">
        <v>40</v>
      </c>
      <c r="K46" s="56"/>
      <c r="L46" s="56"/>
      <c r="M46" s="54">
        <f>SUM(M47:M52)</f>
        <v>7686</v>
      </c>
      <c r="N46" s="54">
        <f t="shared" ref="N46:U46" si="10">SUM(N47:N52)</f>
        <v>9376.3799999999992</v>
      </c>
      <c r="O46" s="54">
        <f t="shared" si="10"/>
        <v>11630.95825</v>
      </c>
      <c r="P46" s="54">
        <f t="shared" si="10"/>
        <v>8923</v>
      </c>
      <c r="Q46" s="54">
        <f t="shared" si="10"/>
        <v>13690.9</v>
      </c>
      <c r="R46" s="54">
        <f t="shared" si="10"/>
        <v>12011.4</v>
      </c>
      <c r="S46" s="54">
        <f t="shared" si="10"/>
        <v>12011.4</v>
      </c>
      <c r="T46" s="54">
        <f t="shared" si="10"/>
        <v>12011.4</v>
      </c>
      <c r="U46" s="54">
        <f t="shared" si="10"/>
        <v>12011.4</v>
      </c>
    </row>
    <row r="47" spans="1:21" ht="15.75" customHeight="1" x14ac:dyDescent="0.3">
      <c r="A47" s="162" t="s">
        <v>11</v>
      </c>
      <c r="B47" s="162" t="s">
        <v>42</v>
      </c>
      <c r="C47" s="162" t="s">
        <v>40</v>
      </c>
      <c r="D47" s="162"/>
      <c r="E47" s="162"/>
      <c r="F47" s="197" t="s">
        <v>87</v>
      </c>
      <c r="G47" s="197" t="s">
        <v>38</v>
      </c>
      <c r="H47" s="59">
        <v>938</v>
      </c>
      <c r="I47" s="52" t="s">
        <v>39</v>
      </c>
      <c r="J47" s="52" t="s">
        <v>40</v>
      </c>
      <c r="K47" s="52" t="s">
        <v>185</v>
      </c>
      <c r="L47" s="53" t="s">
        <v>131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50</v>
      </c>
      <c r="S47" s="54">
        <v>50</v>
      </c>
      <c r="T47" s="54">
        <v>50</v>
      </c>
      <c r="U47" s="54">
        <v>50</v>
      </c>
    </row>
    <row r="48" spans="1:21" s="118" customFormat="1" ht="15.75" customHeight="1" x14ac:dyDescent="0.3">
      <c r="A48" s="200"/>
      <c r="B48" s="200"/>
      <c r="C48" s="200"/>
      <c r="D48" s="200"/>
      <c r="E48" s="200"/>
      <c r="F48" s="198"/>
      <c r="G48" s="198"/>
      <c r="H48" s="59">
        <v>938</v>
      </c>
      <c r="I48" s="52" t="s">
        <v>39</v>
      </c>
      <c r="J48" s="52" t="s">
        <v>40</v>
      </c>
      <c r="K48" s="52" t="s">
        <v>65</v>
      </c>
      <c r="L48" s="53" t="s">
        <v>131</v>
      </c>
      <c r="M48" s="54">
        <v>7686</v>
      </c>
      <c r="N48" s="54">
        <v>7503.2</v>
      </c>
      <c r="O48" s="54">
        <v>8566.4872500000001</v>
      </c>
      <c r="P48" s="54">
        <v>8923</v>
      </c>
      <c r="Q48" s="54">
        <v>13690.9</v>
      </c>
      <c r="R48" s="54">
        <v>11961.4</v>
      </c>
      <c r="S48" s="54">
        <v>11961.4</v>
      </c>
      <c r="T48" s="54">
        <v>11961.4</v>
      </c>
      <c r="U48" s="54">
        <v>11961.4</v>
      </c>
    </row>
    <row r="49" spans="1:23" ht="15.75" customHeight="1" x14ac:dyDescent="0.3">
      <c r="A49" s="200"/>
      <c r="B49" s="200"/>
      <c r="C49" s="200"/>
      <c r="D49" s="200"/>
      <c r="E49" s="200"/>
      <c r="F49" s="198"/>
      <c r="G49" s="198"/>
      <c r="H49" s="59">
        <v>938</v>
      </c>
      <c r="I49" s="52" t="s">
        <v>39</v>
      </c>
      <c r="J49" s="52" t="s">
        <v>40</v>
      </c>
      <c r="K49" s="52" t="s">
        <v>132</v>
      </c>
      <c r="L49" s="53" t="s">
        <v>131</v>
      </c>
      <c r="M49" s="54">
        <v>0</v>
      </c>
      <c r="N49" s="54">
        <v>142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</row>
    <row r="50" spans="1:23" ht="15.75" customHeight="1" x14ac:dyDescent="0.3">
      <c r="A50" s="163"/>
      <c r="B50" s="163"/>
      <c r="C50" s="163"/>
      <c r="D50" s="163"/>
      <c r="E50" s="163"/>
      <c r="F50" s="199"/>
      <c r="G50" s="199"/>
      <c r="H50" s="59">
        <v>938</v>
      </c>
      <c r="I50" s="52" t="s">
        <v>39</v>
      </c>
      <c r="J50" s="52" t="s">
        <v>40</v>
      </c>
      <c r="K50" s="52" t="s">
        <v>133</v>
      </c>
      <c r="L50" s="53" t="s">
        <v>131</v>
      </c>
      <c r="M50" s="54">
        <v>0</v>
      </c>
      <c r="N50" s="54">
        <v>1731.18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</row>
    <row r="51" spans="1:23" ht="15" customHeight="1" x14ac:dyDescent="0.3">
      <c r="A51" s="162" t="s">
        <v>11</v>
      </c>
      <c r="B51" s="162" t="s">
        <v>42</v>
      </c>
      <c r="C51" s="162" t="s">
        <v>88</v>
      </c>
      <c r="D51" s="162"/>
      <c r="E51" s="162"/>
      <c r="F51" s="197" t="s">
        <v>108</v>
      </c>
      <c r="G51" s="197" t="s">
        <v>38</v>
      </c>
      <c r="H51" s="59">
        <v>938</v>
      </c>
      <c r="I51" s="52" t="s">
        <v>39</v>
      </c>
      <c r="J51" s="52" t="s">
        <v>40</v>
      </c>
      <c r="K51" s="52" t="s">
        <v>134</v>
      </c>
      <c r="L51" s="53" t="s">
        <v>131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</row>
    <row r="52" spans="1:23" ht="40.5" customHeight="1" x14ac:dyDescent="0.3">
      <c r="A52" s="207"/>
      <c r="B52" s="207"/>
      <c r="C52" s="207"/>
      <c r="D52" s="207"/>
      <c r="E52" s="207"/>
      <c r="F52" s="208"/>
      <c r="G52" s="208"/>
      <c r="H52" s="59">
        <v>938</v>
      </c>
      <c r="I52" s="52" t="s">
        <v>39</v>
      </c>
      <c r="J52" s="52" t="s">
        <v>40</v>
      </c>
      <c r="K52" s="52" t="s">
        <v>135</v>
      </c>
      <c r="L52" s="53" t="s">
        <v>131</v>
      </c>
      <c r="M52" s="54">
        <v>0</v>
      </c>
      <c r="N52" s="54">
        <v>0</v>
      </c>
      <c r="O52" s="54">
        <v>3064.471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</row>
    <row r="53" spans="1:23" ht="15" customHeight="1" x14ac:dyDescent="0.3">
      <c r="A53" s="187" t="s">
        <v>11</v>
      </c>
      <c r="B53" s="187" t="s">
        <v>44</v>
      </c>
      <c r="C53" s="162"/>
      <c r="D53" s="205"/>
      <c r="E53" s="205"/>
      <c r="F53" s="193" t="s">
        <v>43</v>
      </c>
      <c r="G53" s="123" t="s">
        <v>36</v>
      </c>
      <c r="H53" s="131"/>
      <c r="I53" s="57"/>
      <c r="J53" s="57"/>
      <c r="K53" s="131"/>
      <c r="L53" s="56"/>
      <c r="M53" s="58">
        <f>M54+M55+M56</f>
        <v>460.7</v>
      </c>
      <c r="N53" s="58">
        <f t="shared" ref="N53:O53" si="11">N54+N55+N56</f>
        <v>0</v>
      </c>
      <c r="O53" s="58">
        <f t="shared" si="11"/>
        <v>319</v>
      </c>
      <c r="P53" s="58">
        <f>P54+P55+P56+P57</f>
        <v>2943.3</v>
      </c>
      <c r="Q53" s="58">
        <f>Q54+Q55+Q56+Q57</f>
        <v>3956.8</v>
      </c>
      <c r="R53" s="58">
        <f t="shared" ref="R53:U53" si="12">R54+R55+R56+R57</f>
        <v>0</v>
      </c>
      <c r="S53" s="58">
        <f t="shared" si="12"/>
        <v>0</v>
      </c>
      <c r="T53" s="58">
        <f t="shared" si="12"/>
        <v>0</v>
      </c>
      <c r="U53" s="58">
        <f t="shared" si="12"/>
        <v>0</v>
      </c>
    </row>
    <row r="54" spans="1:23" ht="26.4" x14ac:dyDescent="0.3">
      <c r="A54" s="188"/>
      <c r="B54" s="188"/>
      <c r="C54" s="200"/>
      <c r="D54" s="209"/>
      <c r="E54" s="209"/>
      <c r="F54" s="194"/>
      <c r="G54" s="61" t="s">
        <v>111</v>
      </c>
      <c r="H54" s="57" t="s">
        <v>112</v>
      </c>
      <c r="I54" s="57" t="s">
        <v>39</v>
      </c>
      <c r="J54" s="49" t="s">
        <v>136</v>
      </c>
      <c r="K54" s="131"/>
      <c r="L54" s="60"/>
      <c r="M54" s="54">
        <f>M60+M63</f>
        <v>0.7</v>
      </c>
      <c r="N54" s="54">
        <f>N60+N63</f>
        <v>0</v>
      </c>
      <c r="O54" s="54">
        <f>O60+O63</f>
        <v>0</v>
      </c>
      <c r="P54" s="54">
        <f>P62+P63</f>
        <v>2663.3</v>
      </c>
      <c r="Q54" s="54">
        <f>Q60+Q63</f>
        <v>3272.5</v>
      </c>
      <c r="R54" s="54">
        <f>R63</f>
        <v>0</v>
      </c>
      <c r="S54" s="54">
        <f t="shared" ref="S54:T54" si="13">S63</f>
        <v>0</v>
      </c>
      <c r="T54" s="54">
        <f t="shared" si="13"/>
        <v>0</v>
      </c>
      <c r="U54" s="54">
        <f>U63</f>
        <v>0</v>
      </c>
    </row>
    <row r="55" spans="1:23" ht="36" customHeight="1" x14ac:dyDescent="0.3">
      <c r="A55" s="188"/>
      <c r="B55" s="188"/>
      <c r="C55" s="200"/>
      <c r="D55" s="209"/>
      <c r="E55" s="209"/>
      <c r="F55" s="194"/>
      <c r="G55" s="61" t="s">
        <v>113</v>
      </c>
      <c r="H55" s="57" t="s">
        <v>114</v>
      </c>
      <c r="I55" s="57" t="s">
        <v>39</v>
      </c>
      <c r="J55" s="49" t="s">
        <v>67</v>
      </c>
      <c r="K55" s="131"/>
      <c r="L55" s="60"/>
      <c r="M55" s="54">
        <f>M59</f>
        <v>460</v>
      </c>
      <c r="N55" s="54">
        <f t="shared" ref="N55:U55" si="14">N59</f>
        <v>0</v>
      </c>
      <c r="O55" s="54">
        <f t="shared" si="14"/>
        <v>0</v>
      </c>
      <c r="P55" s="54">
        <f t="shared" si="14"/>
        <v>0</v>
      </c>
      <c r="Q55" s="54">
        <f t="shared" si="14"/>
        <v>0</v>
      </c>
      <c r="R55" s="54">
        <f t="shared" si="14"/>
        <v>0</v>
      </c>
      <c r="S55" s="54">
        <f t="shared" si="14"/>
        <v>0</v>
      </c>
      <c r="T55" s="54">
        <f t="shared" si="14"/>
        <v>0</v>
      </c>
      <c r="U55" s="54">
        <f t="shared" si="14"/>
        <v>0</v>
      </c>
    </row>
    <row r="56" spans="1:23" ht="57" customHeight="1" x14ac:dyDescent="0.3">
      <c r="A56" s="188"/>
      <c r="B56" s="188"/>
      <c r="C56" s="200"/>
      <c r="D56" s="209"/>
      <c r="E56" s="209"/>
      <c r="F56" s="194"/>
      <c r="G56" s="122" t="s">
        <v>38</v>
      </c>
      <c r="H56" s="57" t="s">
        <v>12</v>
      </c>
      <c r="I56" s="57" t="s">
        <v>39</v>
      </c>
      <c r="J56" s="49" t="s">
        <v>67</v>
      </c>
      <c r="K56" s="131"/>
      <c r="L56" s="60"/>
      <c r="M56" s="54">
        <f>M64</f>
        <v>0</v>
      </c>
      <c r="N56" s="54">
        <f t="shared" ref="N56:U56" si="15">N64</f>
        <v>0</v>
      </c>
      <c r="O56" s="54">
        <f t="shared" si="15"/>
        <v>319</v>
      </c>
      <c r="P56" s="54">
        <f t="shared" si="15"/>
        <v>0</v>
      </c>
      <c r="Q56" s="54">
        <f t="shared" si="15"/>
        <v>416.3</v>
      </c>
      <c r="R56" s="54">
        <f t="shared" si="15"/>
        <v>0</v>
      </c>
      <c r="S56" s="54">
        <f t="shared" si="15"/>
        <v>0</v>
      </c>
      <c r="T56" s="54">
        <f t="shared" si="15"/>
        <v>0</v>
      </c>
      <c r="U56" s="54">
        <f t="shared" si="15"/>
        <v>0</v>
      </c>
    </row>
    <row r="57" spans="1:23" ht="26.4" x14ac:dyDescent="0.3">
      <c r="A57" s="189"/>
      <c r="B57" s="189"/>
      <c r="C57" s="163"/>
      <c r="D57" s="206"/>
      <c r="E57" s="206"/>
      <c r="F57" s="195"/>
      <c r="G57" s="122" t="s">
        <v>163</v>
      </c>
      <c r="H57" s="57" t="s">
        <v>164</v>
      </c>
      <c r="I57" s="57" t="s">
        <v>40</v>
      </c>
      <c r="J57" s="49" t="s">
        <v>67</v>
      </c>
      <c r="K57" s="131"/>
      <c r="L57" s="60"/>
      <c r="M57" s="54">
        <v>0</v>
      </c>
      <c r="N57" s="54">
        <v>0</v>
      </c>
      <c r="O57" s="54">
        <v>0</v>
      </c>
      <c r="P57" s="54">
        <v>280</v>
      </c>
      <c r="Q57" s="54">
        <f>Q58</f>
        <v>268</v>
      </c>
      <c r="R57" s="54">
        <v>0</v>
      </c>
      <c r="S57" s="54">
        <v>0</v>
      </c>
      <c r="T57" s="54">
        <v>0</v>
      </c>
      <c r="U57" s="54">
        <v>0</v>
      </c>
    </row>
    <row r="58" spans="1:23" ht="69.75" customHeight="1" x14ac:dyDescent="0.3">
      <c r="A58" s="100" t="s">
        <v>11</v>
      </c>
      <c r="B58" s="100" t="s">
        <v>44</v>
      </c>
      <c r="C58" s="95" t="s">
        <v>40</v>
      </c>
      <c r="D58" s="98"/>
      <c r="E58" s="98"/>
      <c r="F58" s="122" t="s">
        <v>165</v>
      </c>
      <c r="G58" s="122" t="s">
        <v>166</v>
      </c>
      <c r="H58" s="57" t="s">
        <v>164</v>
      </c>
      <c r="I58" s="57" t="s">
        <v>40</v>
      </c>
      <c r="J58" s="49" t="s">
        <v>67</v>
      </c>
      <c r="K58" s="57" t="s">
        <v>167</v>
      </c>
      <c r="L58" s="62">
        <v>240</v>
      </c>
      <c r="M58" s="54">
        <v>0</v>
      </c>
      <c r="N58" s="54">
        <v>0</v>
      </c>
      <c r="O58" s="54">
        <v>0</v>
      </c>
      <c r="P58" s="54">
        <v>280</v>
      </c>
      <c r="Q58" s="54">
        <v>268</v>
      </c>
      <c r="R58" s="54">
        <v>0</v>
      </c>
      <c r="S58" s="54">
        <v>0</v>
      </c>
      <c r="T58" s="54">
        <v>0</v>
      </c>
      <c r="U58" s="54">
        <v>0</v>
      </c>
    </row>
    <row r="59" spans="1:23" ht="105.6" x14ac:dyDescent="0.3">
      <c r="A59" s="97" t="s">
        <v>11</v>
      </c>
      <c r="B59" s="97" t="s">
        <v>44</v>
      </c>
      <c r="C59" s="97" t="s">
        <v>40</v>
      </c>
      <c r="D59" s="99"/>
      <c r="E59" s="99"/>
      <c r="F59" s="61" t="s">
        <v>196</v>
      </c>
      <c r="G59" s="61" t="s">
        <v>113</v>
      </c>
      <c r="H59" s="57" t="s">
        <v>114</v>
      </c>
      <c r="I59" s="57" t="s">
        <v>39</v>
      </c>
      <c r="J59" s="49" t="s">
        <v>67</v>
      </c>
      <c r="K59" s="57" t="s">
        <v>137</v>
      </c>
      <c r="L59" s="62">
        <v>240</v>
      </c>
      <c r="M59" s="54">
        <v>460</v>
      </c>
      <c r="N59" s="54">
        <v>0</v>
      </c>
      <c r="O59" s="54">
        <v>0</v>
      </c>
      <c r="P59" s="54">
        <v>0</v>
      </c>
      <c r="Q59" s="54">
        <v>0</v>
      </c>
      <c r="R59" s="54">
        <v>0</v>
      </c>
      <c r="S59" s="54">
        <v>0</v>
      </c>
      <c r="T59" s="54">
        <v>0</v>
      </c>
      <c r="U59" s="54">
        <v>0</v>
      </c>
    </row>
    <row r="60" spans="1:23" x14ac:dyDescent="0.3">
      <c r="A60" s="162" t="s">
        <v>11</v>
      </c>
      <c r="B60" s="162" t="s">
        <v>44</v>
      </c>
      <c r="C60" s="162" t="s">
        <v>41</v>
      </c>
      <c r="D60" s="205"/>
      <c r="E60" s="205"/>
      <c r="F60" s="197" t="s">
        <v>92</v>
      </c>
      <c r="G60" s="197" t="s">
        <v>111</v>
      </c>
      <c r="H60" s="57" t="s">
        <v>112</v>
      </c>
      <c r="I60" s="57" t="s">
        <v>39</v>
      </c>
      <c r="J60" s="49" t="s">
        <v>67</v>
      </c>
      <c r="K60" s="57" t="s">
        <v>181</v>
      </c>
      <c r="L60" s="63">
        <v>240</v>
      </c>
      <c r="M60" s="54">
        <v>0.7</v>
      </c>
      <c r="N60" s="54">
        <v>0</v>
      </c>
      <c r="O60" s="54">
        <v>0</v>
      </c>
      <c r="P60" s="54">
        <v>0</v>
      </c>
      <c r="Q60" s="54">
        <v>3272.5</v>
      </c>
      <c r="R60" s="54">
        <v>0</v>
      </c>
      <c r="S60" s="54">
        <v>0</v>
      </c>
      <c r="T60" s="54">
        <v>0</v>
      </c>
      <c r="U60" s="54">
        <v>0</v>
      </c>
    </row>
    <row r="61" spans="1:23" s="117" customFormat="1" x14ac:dyDescent="0.3">
      <c r="A61" s="200"/>
      <c r="B61" s="200"/>
      <c r="C61" s="200"/>
      <c r="D61" s="209"/>
      <c r="E61" s="209"/>
      <c r="F61" s="198"/>
      <c r="G61" s="198"/>
      <c r="H61" s="57" t="s">
        <v>112</v>
      </c>
      <c r="I61" s="57" t="s">
        <v>39</v>
      </c>
      <c r="J61" s="49" t="s">
        <v>67</v>
      </c>
      <c r="K61" s="57" t="s">
        <v>138</v>
      </c>
      <c r="L61" s="63">
        <v>240</v>
      </c>
      <c r="M61" s="54">
        <v>0.7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</row>
    <row r="62" spans="1:23" s="103" customFormat="1" ht="15" customHeight="1" x14ac:dyDescent="0.3">
      <c r="A62" s="200"/>
      <c r="B62" s="200"/>
      <c r="C62" s="200"/>
      <c r="D62" s="209"/>
      <c r="E62" s="209"/>
      <c r="F62" s="198"/>
      <c r="G62" s="198"/>
      <c r="H62" s="57" t="s">
        <v>112</v>
      </c>
      <c r="I62" s="57" t="s">
        <v>39</v>
      </c>
      <c r="J62" s="49" t="s">
        <v>67</v>
      </c>
      <c r="K62" s="57" t="s">
        <v>139</v>
      </c>
      <c r="L62" s="63">
        <v>240</v>
      </c>
      <c r="M62" s="54"/>
      <c r="N62" s="54">
        <v>0</v>
      </c>
      <c r="O62" s="54">
        <v>0</v>
      </c>
      <c r="P62" s="54">
        <v>2603.3000000000002</v>
      </c>
      <c r="Q62" s="54">
        <v>0</v>
      </c>
      <c r="R62" s="54">
        <v>0</v>
      </c>
      <c r="S62" s="54">
        <v>0</v>
      </c>
      <c r="T62" s="54">
        <v>0</v>
      </c>
      <c r="U62" s="54">
        <v>0</v>
      </c>
      <c r="V62" s="111"/>
      <c r="W62" s="111"/>
    </row>
    <row r="63" spans="1:23" ht="15" customHeight="1" x14ac:dyDescent="0.3">
      <c r="A63" s="200"/>
      <c r="B63" s="200"/>
      <c r="C63" s="200"/>
      <c r="D63" s="209"/>
      <c r="E63" s="209"/>
      <c r="F63" s="198"/>
      <c r="G63" s="199"/>
      <c r="H63" s="57" t="s">
        <v>112</v>
      </c>
      <c r="I63" s="57" t="s">
        <v>39</v>
      </c>
      <c r="J63" s="49" t="s">
        <v>67</v>
      </c>
      <c r="K63" s="57" t="s">
        <v>175</v>
      </c>
      <c r="L63" s="63">
        <v>240</v>
      </c>
      <c r="M63" s="54"/>
      <c r="N63" s="54">
        <v>0</v>
      </c>
      <c r="O63" s="54">
        <v>0</v>
      </c>
      <c r="P63" s="54">
        <v>60</v>
      </c>
      <c r="Q63" s="54">
        <v>0</v>
      </c>
      <c r="R63" s="54">
        <v>0</v>
      </c>
      <c r="S63" s="54">
        <v>0</v>
      </c>
      <c r="T63" s="54">
        <v>0</v>
      </c>
      <c r="U63" s="54">
        <v>0</v>
      </c>
      <c r="V63" s="111"/>
      <c r="W63" s="111"/>
    </row>
    <row r="64" spans="1:23" ht="54" customHeight="1" x14ac:dyDescent="0.3">
      <c r="A64" s="163"/>
      <c r="B64" s="163"/>
      <c r="C64" s="163"/>
      <c r="D64" s="206"/>
      <c r="E64" s="206"/>
      <c r="F64" s="199"/>
      <c r="G64" s="122" t="s">
        <v>38</v>
      </c>
      <c r="H64" s="57" t="s">
        <v>12</v>
      </c>
      <c r="I64" s="57" t="s">
        <v>39</v>
      </c>
      <c r="J64" s="49" t="s">
        <v>67</v>
      </c>
      <c r="K64" s="57" t="s">
        <v>138</v>
      </c>
      <c r="L64" s="63">
        <v>240</v>
      </c>
      <c r="M64" s="54">
        <v>0</v>
      </c>
      <c r="N64" s="54">
        <v>0</v>
      </c>
      <c r="O64" s="54">
        <v>319</v>
      </c>
      <c r="P64" s="54">
        <v>0</v>
      </c>
      <c r="Q64" s="54">
        <v>416.3</v>
      </c>
      <c r="R64" s="54">
        <v>0</v>
      </c>
      <c r="S64" s="54">
        <v>0</v>
      </c>
      <c r="T64" s="54">
        <v>0</v>
      </c>
      <c r="U64" s="54">
        <v>0</v>
      </c>
    </row>
    <row r="65" spans="1:21" ht="24.75" customHeight="1" x14ac:dyDescent="0.3">
      <c r="A65" s="196" t="s">
        <v>11</v>
      </c>
      <c r="B65" s="196" t="s">
        <v>45</v>
      </c>
      <c r="C65" s="171"/>
      <c r="D65" s="204"/>
      <c r="E65" s="205"/>
      <c r="F65" s="203" t="s">
        <v>66</v>
      </c>
      <c r="G65" s="123" t="s">
        <v>36</v>
      </c>
      <c r="H65" s="131"/>
      <c r="I65" s="57"/>
      <c r="J65" s="57"/>
      <c r="K65" s="131"/>
      <c r="L65" s="56"/>
      <c r="M65" s="58">
        <f t="shared" ref="M65:U65" si="16">M66</f>
        <v>23978.799999999999</v>
      </c>
      <c r="N65" s="58">
        <f t="shared" si="16"/>
        <v>64735.700000000004</v>
      </c>
      <c r="O65" s="58">
        <f>O66</f>
        <v>22652.279020000002</v>
      </c>
      <c r="P65" s="58">
        <f t="shared" si="16"/>
        <v>10845.6</v>
      </c>
      <c r="Q65" s="58">
        <f t="shared" si="16"/>
        <v>13723</v>
      </c>
      <c r="R65" s="58">
        <f t="shared" si="16"/>
        <v>10705.4</v>
      </c>
      <c r="S65" s="58">
        <f t="shared" si="16"/>
        <v>11590.9</v>
      </c>
      <c r="T65" s="58">
        <f t="shared" si="16"/>
        <v>11526.5</v>
      </c>
      <c r="U65" s="58">
        <f t="shared" si="16"/>
        <v>10705.4</v>
      </c>
    </row>
    <row r="66" spans="1:21" ht="54.75" customHeight="1" x14ac:dyDescent="0.3">
      <c r="A66" s="196"/>
      <c r="B66" s="196"/>
      <c r="C66" s="171"/>
      <c r="D66" s="204"/>
      <c r="E66" s="206"/>
      <c r="F66" s="203"/>
      <c r="G66" s="61" t="s">
        <v>38</v>
      </c>
      <c r="H66" s="57" t="s">
        <v>12</v>
      </c>
      <c r="I66" s="57" t="s">
        <v>39</v>
      </c>
      <c r="J66" s="57" t="s">
        <v>67</v>
      </c>
      <c r="K66" s="131"/>
      <c r="L66" s="60"/>
      <c r="M66" s="54">
        <f t="shared" ref="M66:U66" si="17">SUM(M67:M96)</f>
        <v>23978.799999999999</v>
      </c>
      <c r="N66" s="54">
        <f t="shared" si="17"/>
        <v>64735.700000000004</v>
      </c>
      <c r="O66" s="54">
        <f t="shared" si="17"/>
        <v>22652.279020000002</v>
      </c>
      <c r="P66" s="54">
        <f t="shared" si="17"/>
        <v>10845.6</v>
      </c>
      <c r="Q66" s="54">
        <f t="shared" si="17"/>
        <v>13723</v>
      </c>
      <c r="R66" s="54">
        <f t="shared" si="17"/>
        <v>10705.4</v>
      </c>
      <c r="S66" s="54">
        <f t="shared" si="17"/>
        <v>11590.9</v>
      </c>
      <c r="T66" s="54">
        <f t="shared" si="17"/>
        <v>11526.5</v>
      </c>
      <c r="U66" s="54">
        <f t="shared" si="17"/>
        <v>10705.4</v>
      </c>
    </row>
    <row r="67" spans="1:21" ht="58.5" customHeight="1" x14ac:dyDescent="0.3">
      <c r="A67" s="162" t="s">
        <v>11</v>
      </c>
      <c r="B67" s="162" t="s">
        <v>45</v>
      </c>
      <c r="C67" s="162" t="s">
        <v>40</v>
      </c>
      <c r="D67" s="205"/>
      <c r="E67" s="205"/>
      <c r="F67" s="218" t="s">
        <v>195</v>
      </c>
      <c r="G67" s="197" t="s">
        <v>38</v>
      </c>
      <c r="H67" s="57" t="s">
        <v>12</v>
      </c>
      <c r="I67" s="57" t="s">
        <v>39</v>
      </c>
      <c r="J67" s="57" t="s">
        <v>67</v>
      </c>
      <c r="K67" s="64" t="s">
        <v>68</v>
      </c>
      <c r="L67" s="65" t="s">
        <v>140</v>
      </c>
      <c r="M67" s="54">
        <v>3286.8</v>
      </c>
      <c r="N67" s="54">
        <f>2751.4+13.5+0.4+2.8+881.9+32.6+10.3+5.3+15.3+50.7</f>
        <v>3764.2000000000007</v>
      </c>
      <c r="O67" s="54">
        <v>3533.4070200000001</v>
      </c>
      <c r="P67" s="54">
        <v>3819.7</v>
      </c>
      <c r="Q67" s="54">
        <v>6268</v>
      </c>
      <c r="R67" s="54">
        <v>6762.4</v>
      </c>
      <c r="S67" s="54">
        <v>6762.4</v>
      </c>
      <c r="T67" s="54">
        <v>6762.4</v>
      </c>
      <c r="U67" s="54">
        <v>6762.4</v>
      </c>
    </row>
    <row r="68" spans="1:21" s="112" customFormat="1" ht="26.4" x14ac:dyDescent="0.3">
      <c r="A68" s="200"/>
      <c r="B68" s="200"/>
      <c r="C68" s="200"/>
      <c r="D68" s="209"/>
      <c r="E68" s="209"/>
      <c r="F68" s="220"/>
      <c r="G68" s="198"/>
      <c r="H68" s="57" t="s">
        <v>12</v>
      </c>
      <c r="I68" s="57" t="s">
        <v>39</v>
      </c>
      <c r="J68" s="57" t="s">
        <v>67</v>
      </c>
      <c r="K68" s="64" t="s">
        <v>180</v>
      </c>
      <c r="L68" s="65" t="s">
        <v>142</v>
      </c>
      <c r="M68" s="54">
        <v>0</v>
      </c>
      <c r="N68" s="54">
        <v>0</v>
      </c>
      <c r="O68" s="54">
        <v>0</v>
      </c>
      <c r="P68" s="54">
        <v>0</v>
      </c>
      <c r="Q68" s="151">
        <v>124</v>
      </c>
      <c r="R68" s="54">
        <v>0</v>
      </c>
      <c r="S68" s="54">
        <v>0</v>
      </c>
      <c r="T68" s="54">
        <v>0</v>
      </c>
      <c r="U68" s="54">
        <v>0</v>
      </c>
    </row>
    <row r="69" spans="1:21" ht="26.4" x14ac:dyDescent="0.3">
      <c r="A69" s="163"/>
      <c r="B69" s="163"/>
      <c r="C69" s="163"/>
      <c r="D69" s="206"/>
      <c r="E69" s="206"/>
      <c r="F69" s="219"/>
      <c r="G69" s="199"/>
      <c r="H69" s="57" t="s">
        <v>12</v>
      </c>
      <c r="I69" s="57" t="s">
        <v>39</v>
      </c>
      <c r="J69" s="57" t="s">
        <v>67</v>
      </c>
      <c r="K69" s="64" t="s">
        <v>141</v>
      </c>
      <c r="L69" s="65" t="s">
        <v>142</v>
      </c>
      <c r="M69" s="54">
        <v>0</v>
      </c>
      <c r="N69" s="54">
        <v>0</v>
      </c>
      <c r="O69" s="54">
        <v>43</v>
      </c>
      <c r="P69" s="54">
        <v>0</v>
      </c>
      <c r="Q69" s="54">
        <v>0</v>
      </c>
      <c r="R69" s="54">
        <v>0</v>
      </c>
      <c r="S69" s="54">
        <v>0</v>
      </c>
      <c r="T69" s="54">
        <v>0</v>
      </c>
      <c r="U69" s="54">
        <v>0</v>
      </c>
    </row>
    <row r="70" spans="1:21" ht="68.25" customHeight="1" x14ac:dyDescent="0.3">
      <c r="A70" s="162" t="s">
        <v>11</v>
      </c>
      <c r="B70" s="162" t="s">
        <v>45</v>
      </c>
      <c r="C70" s="162" t="s">
        <v>41</v>
      </c>
      <c r="D70" s="162"/>
      <c r="E70" s="162"/>
      <c r="F70" s="197" t="s">
        <v>69</v>
      </c>
      <c r="G70" s="197" t="s">
        <v>38</v>
      </c>
      <c r="H70" s="57" t="s">
        <v>12</v>
      </c>
      <c r="I70" s="57" t="s">
        <v>70</v>
      </c>
      <c r="J70" s="57" t="s">
        <v>67</v>
      </c>
      <c r="K70" s="49" t="s">
        <v>71</v>
      </c>
      <c r="L70" s="65" t="s">
        <v>143</v>
      </c>
      <c r="M70" s="54">
        <v>16666.5</v>
      </c>
      <c r="N70" s="55">
        <v>981.84</v>
      </c>
      <c r="O70" s="54">
        <v>0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4">
        <v>0</v>
      </c>
    </row>
    <row r="71" spans="1:21" ht="35.25" customHeight="1" x14ac:dyDescent="0.3">
      <c r="A71" s="163"/>
      <c r="B71" s="163"/>
      <c r="C71" s="163"/>
      <c r="D71" s="163"/>
      <c r="E71" s="163"/>
      <c r="F71" s="199"/>
      <c r="G71" s="199"/>
      <c r="H71" s="57" t="s">
        <v>12</v>
      </c>
      <c r="I71" s="57" t="s">
        <v>39</v>
      </c>
      <c r="J71" s="57" t="s">
        <v>67</v>
      </c>
      <c r="K71" s="49" t="s">
        <v>144</v>
      </c>
      <c r="L71" s="66">
        <v>240</v>
      </c>
      <c r="M71" s="54">
        <v>350</v>
      </c>
      <c r="N71" s="55">
        <v>0</v>
      </c>
      <c r="O71" s="54">
        <v>0</v>
      </c>
      <c r="P71" s="54">
        <v>0</v>
      </c>
      <c r="Q71" s="54">
        <v>0</v>
      </c>
      <c r="R71" s="54">
        <v>0</v>
      </c>
      <c r="S71" s="54">
        <v>0</v>
      </c>
      <c r="T71" s="54">
        <v>0</v>
      </c>
      <c r="U71" s="54">
        <v>0</v>
      </c>
    </row>
    <row r="72" spans="1:21" ht="24.75" customHeight="1" x14ac:dyDescent="0.3">
      <c r="A72" s="210" t="s">
        <v>11</v>
      </c>
      <c r="B72" s="210">
        <v>5</v>
      </c>
      <c r="C72" s="212" t="s">
        <v>11</v>
      </c>
      <c r="D72" s="214"/>
      <c r="E72" s="216"/>
      <c r="F72" s="218" t="s">
        <v>61</v>
      </c>
      <c r="G72" s="197" t="s">
        <v>38</v>
      </c>
      <c r="H72" s="120">
        <v>938</v>
      </c>
      <c r="I72" s="57" t="s">
        <v>70</v>
      </c>
      <c r="J72" s="57" t="s">
        <v>40</v>
      </c>
      <c r="K72" s="49" t="s">
        <v>96</v>
      </c>
      <c r="L72" s="67" t="s">
        <v>145</v>
      </c>
      <c r="M72" s="68">
        <v>736.8</v>
      </c>
      <c r="N72" s="55">
        <f>68.2+1162.4</f>
        <v>1230.6000000000001</v>
      </c>
      <c r="O72" s="54">
        <f>73.1+1286.308</f>
        <v>1359.4079999999999</v>
      </c>
      <c r="P72" s="54">
        <v>882.9</v>
      </c>
      <c r="Q72" s="54">
        <v>713.8</v>
      </c>
      <c r="R72" s="54">
        <v>721</v>
      </c>
      <c r="S72" s="54">
        <v>721</v>
      </c>
      <c r="T72" s="54">
        <v>721</v>
      </c>
      <c r="U72" s="54">
        <v>721</v>
      </c>
    </row>
    <row r="73" spans="1:21" ht="34.5" customHeight="1" x14ac:dyDescent="0.3">
      <c r="A73" s="211"/>
      <c r="B73" s="211"/>
      <c r="C73" s="213"/>
      <c r="D73" s="215"/>
      <c r="E73" s="217"/>
      <c r="F73" s="219"/>
      <c r="G73" s="199"/>
      <c r="H73" s="120">
        <v>938</v>
      </c>
      <c r="I73" s="57" t="s">
        <v>70</v>
      </c>
      <c r="J73" s="57" t="s">
        <v>40</v>
      </c>
      <c r="K73" s="49" t="s">
        <v>146</v>
      </c>
      <c r="L73" s="67" t="s">
        <v>145</v>
      </c>
      <c r="M73" s="68">
        <v>0</v>
      </c>
      <c r="N73" s="69">
        <v>0</v>
      </c>
      <c r="O73" s="70">
        <v>322.5</v>
      </c>
      <c r="P73" s="70">
        <v>6142.9</v>
      </c>
      <c r="Q73" s="70">
        <v>6467.2</v>
      </c>
      <c r="R73" s="70">
        <v>3212</v>
      </c>
      <c r="S73" s="70">
        <v>3212</v>
      </c>
      <c r="T73" s="70">
        <v>3212</v>
      </c>
      <c r="U73" s="70">
        <v>3212</v>
      </c>
    </row>
    <row r="74" spans="1:21" ht="14.25" hidden="1" customHeight="1" x14ac:dyDescent="0.3">
      <c r="A74" s="216" t="s">
        <v>11</v>
      </c>
      <c r="B74" s="216">
        <v>5</v>
      </c>
      <c r="C74" s="214" t="s">
        <v>67</v>
      </c>
      <c r="D74" s="214"/>
      <c r="E74" s="216"/>
      <c r="F74" s="233" t="s">
        <v>97</v>
      </c>
      <c r="G74" s="197" t="s">
        <v>38</v>
      </c>
      <c r="H74" s="73">
        <v>938</v>
      </c>
      <c r="I74" s="57" t="s">
        <v>39</v>
      </c>
      <c r="J74" s="57" t="s">
        <v>40</v>
      </c>
      <c r="K74" s="49" t="s">
        <v>63</v>
      </c>
      <c r="L74" s="71">
        <v>620</v>
      </c>
      <c r="M74" s="54">
        <v>0</v>
      </c>
      <c r="N74" s="54">
        <f>430-430</f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</row>
    <row r="75" spans="1:21" x14ac:dyDescent="0.3">
      <c r="A75" s="224"/>
      <c r="B75" s="224"/>
      <c r="C75" s="225"/>
      <c r="D75" s="225"/>
      <c r="E75" s="224"/>
      <c r="F75" s="234"/>
      <c r="G75" s="198"/>
      <c r="H75" s="73">
        <v>938</v>
      </c>
      <c r="I75" s="57" t="s">
        <v>39</v>
      </c>
      <c r="J75" s="57" t="s">
        <v>40</v>
      </c>
      <c r="K75" s="49" t="s">
        <v>147</v>
      </c>
      <c r="L75" s="71">
        <v>620</v>
      </c>
      <c r="M75" s="54">
        <v>1450</v>
      </c>
      <c r="N75" s="54">
        <v>0</v>
      </c>
      <c r="O75" s="54">
        <v>0</v>
      </c>
      <c r="P75" s="54">
        <v>0</v>
      </c>
      <c r="Q75" s="54">
        <v>0</v>
      </c>
      <c r="R75" s="54">
        <v>0</v>
      </c>
      <c r="S75" s="54">
        <v>0</v>
      </c>
      <c r="T75" s="54">
        <v>0</v>
      </c>
      <c r="U75" s="54">
        <v>0</v>
      </c>
    </row>
    <row r="76" spans="1:21" x14ac:dyDescent="0.3">
      <c r="A76" s="224"/>
      <c r="B76" s="224"/>
      <c r="C76" s="225"/>
      <c r="D76" s="225"/>
      <c r="E76" s="224"/>
      <c r="F76" s="234"/>
      <c r="G76" s="198"/>
      <c r="H76" s="73">
        <v>938</v>
      </c>
      <c r="I76" s="57" t="s">
        <v>70</v>
      </c>
      <c r="J76" s="57" t="s">
        <v>40</v>
      </c>
      <c r="K76" s="49" t="s">
        <v>100</v>
      </c>
      <c r="L76" s="72">
        <v>620</v>
      </c>
      <c r="M76" s="54">
        <v>181</v>
      </c>
      <c r="N76" s="54">
        <v>0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</row>
    <row r="77" spans="1:21" x14ac:dyDescent="0.3">
      <c r="A77" s="224"/>
      <c r="B77" s="224"/>
      <c r="C77" s="225"/>
      <c r="D77" s="225"/>
      <c r="E77" s="224"/>
      <c r="F77" s="234"/>
      <c r="G77" s="198"/>
      <c r="H77" s="132">
        <v>938</v>
      </c>
      <c r="I77" s="57" t="s">
        <v>39</v>
      </c>
      <c r="J77" s="57" t="s">
        <v>40</v>
      </c>
      <c r="K77" s="49" t="s">
        <v>148</v>
      </c>
      <c r="L77" s="72">
        <v>620</v>
      </c>
      <c r="M77" s="54">
        <v>293.5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</row>
    <row r="78" spans="1:21" x14ac:dyDescent="0.3">
      <c r="A78" s="224"/>
      <c r="B78" s="224"/>
      <c r="C78" s="225"/>
      <c r="D78" s="225"/>
      <c r="E78" s="224"/>
      <c r="F78" s="234"/>
      <c r="G78" s="198"/>
      <c r="H78" s="132">
        <v>938</v>
      </c>
      <c r="I78" s="57" t="s">
        <v>39</v>
      </c>
      <c r="J78" s="57" t="s">
        <v>40</v>
      </c>
      <c r="K78" s="49" t="s">
        <v>149</v>
      </c>
      <c r="L78" s="72">
        <v>465</v>
      </c>
      <c r="M78" s="54">
        <v>0</v>
      </c>
      <c r="N78" s="54">
        <v>1055.5999999999999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</row>
    <row r="79" spans="1:21" x14ac:dyDescent="0.3">
      <c r="A79" s="224"/>
      <c r="B79" s="224"/>
      <c r="C79" s="225"/>
      <c r="D79" s="225"/>
      <c r="E79" s="224"/>
      <c r="F79" s="234"/>
      <c r="G79" s="198"/>
      <c r="H79" s="132">
        <v>938</v>
      </c>
      <c r="I79" s="57" t="s">
        <v>39</v>
      </c>
      <c r="J79" s="57" t="s">
        <v>40</v>
      </c>
      <c r="K79" s="49" t="s">
        <v>149</v>
      </c>
      <c r="L79" s="72">
        <v>620</v>
      </c>
      <c r="M79" s="54">
        <v>288.10000000000002</v>
      </c>
      <c r="N79" s="54">
        <v>113.68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</row>
    <row r="80" spans="1:21" x14ac:dyDescent="0.3">
      <c r="A80" s="224"/>
      <c r="B80" s="224"/>
      <c r="C80" s="225"/>
      <c r="D80" s="225"/>
      <c r="E80" s="224"/>
      <c r="F80" s="234"/>
      <c r="G80" s="198"/>
      <c r="H80" s="132">
        <v>938</v>
      </c>
      <c r="I80" s="57" t="s">
        <v>39</v>
      </c>
      <c r="J80" s="57" t="s">
        <v>40</v>
      </c>
      <c r="K80" s="49" t="s">
        <v>150</v>
      </c>
      <c r="L80" s="72">
        <v>620</v>
      </c>
      <c r="M80" s="54">
        <v>125</v>
      </c>
      <c r="N80" s="54">
        <v>0</v>
      </c>
      <c r="O80" s="54">
        <v>0</v>
      </c>
      <c r="P80" s="54">
        <v>0</v>
      </c>
      <c r="Q80" s="54">
        <v>0</v>
      </c>
      <c r="R80" s="54">
        <v>0</v>
      </c>
      <c r="S80" s="54">
        <v>0</v>
      </c>
      <c r="T80" s="54">
        <v>0</v>
      </c>
      <c r="U80" s="54">
        <v>0</v>
      </c>
    </row>
    <row r="81" spans="1:21" x14ac:dyDescent="0.3">
      <c r="A81" s="224"/>
      <c r="B81" s="224"/>
      <c r="C81" s="225"/>
      <c r="D81" s="225"/>
      <c r="E81" s="224"/>
      <c r="F81" s="234"/>
      <c r="G81" s="198"/>
      <c r="H81" s="132">
        <v>938</v>
      </c>
      <c r="I81" s="57" t="s">
        <v>39</v>
      </c>
      <c r="J81" s="57" t="s">
        <v>40</v>
      </c>
      <c r="K81" s="49" t="s">
        <v>151</v>
      </c>
      <c r="L81" s="72">
        <v>620</v>
      </c>
      <c r="M81" s="54">
        <v>200.2</v>
      </c>
      <c r="N81" s="54">
        <v>461.5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4">
        <v>0</v>
      </c>
    </row>
    <row r="82" spans="1:21" hidden="1" x14ac:dyDescent="0.3">
      <c r="A82" s="224"/>
      <c r="B82" s="224"/>
      <c r="C82" s="225"/>
      <c r="D82" s="225"/>
      <c r="E82" s="224"/>
      <c r="F82" s="234"/>
      <c r="G82" s="198"/>
      <c r="H82" s="132">
        <v>938</v>
      </c>
      <c r="I82" s="57" t="s">
        <v>39</v>
      </c>
      <c r="J82" s="57" t="s">
        <v>40</v>
      </c>
      <c r="K82" s="49" t="s">
        <v>152</v>
      </c>
      <c r="L82" s="72">
        <v>240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54">
        <v>0</v>
      </c>
      <c r="S82" s="54">
        <v>0</v>
      </c>
      <c r="T82" s="54">
        <v>0</v>
      </c>
      <c r="U82" s="54">
        <v>0</v>
      </c>
    </row>
    <row r="83" spans="1:21" ht="39.6" x14ac:dyDescent="0.3">
      <c r="A83" s="224"/>
      <c r="B83" s="224"/>
      <c r="C83" s="225"/>
      <c r="D83" s="225"/>
      <c r="E83" s="224"/>
      <c r="F83" s="234"/>
      <c r="G83" s="198"/>
      <c r="H83" s="132">
        <v>938</v>
      </c>
      <c r="I83" s="57" t="s">
        <v>39</v>
      </c>
      <c r="J83" s="57" t="s">
        <v>40</v>
      </c>
      <c r="K83" s="49" t="s">
        <v>152</v>
      </c>
      <c r="L83" s="71" t="s">
        <v>176</v>
      </c>
      <c r="M83" s="54">
        <v>0</v>
      </c>
      <c r="N83" s="54">
        <f>325.1+43.6</f>
        <v>368.70000000000005</v>
      </c>
      <c r="O83" s="54">
        <f>43.594</f>
        <v>43.594000000000001</v>
      </c>
      <c r="P83" s="54">
        <v>0.1</v>
      </c>
      <c r="Q83" s="54">
        <v>0</v>
      </c>
      <c r="R83" s="54">
        <v>0</v>
      </c>
      <c r="S83" s="54">
        <v>0</v>
      </c>
      <c r="T83" s="54">
        <v>0</v>
      </c>
      <c r="U83" s="54">
        <v>0</v>
      </c>
    </row>
    <row r="84" spans="1:21" x14ac:dyDescent="0.3">
      <c r="A84" s="224"/>
      <c r="B84" s="224"/>
      <c r="C84" s="225"/>
      <c r="D84" s="225"/>
      <c r="E84" s="224"/>
      <c r="F84" s="234"/>
      <c r="G84" s="198"/>
      <c r="H84" s="132">
        <v>938</v>
      </c>
      <c r="I84" s="57" t="s">
        <v>39</v>
      </c>
      <c r="J84" s="57" t="s">
        <v>40</v>
      </c>
      <c r="K84" s="49" t="s">
        <v>153</v>
      </c>
      <c r="L84" s="72">
        <v>240</v>
      </c>
      <c r="M84" s="54">
        <v>0</v>
      </c>
      <c r="N84" s="54">
        <v>0</v>
      </c>
      <c r="O84" s="54">
        <v>40</v>
      </c>
      <c r="P84" s="54">
        <v>0</v>
      </c>
      <c r="Q84" s="54">
        <v>0</v>
      </c>
      <c r="R84" s="54">
        <v>10</v>
      </c>
      <c r="S84" s="54">
        <v>10</v>
      </c>
      <c r="T84" s="54">
        <v>10</v>
      </c>
      <c r="U84" s="54">
        <v>10</v>
      </c>
    </row>
    <row r="85" spans="1:21" ht="15" customHeight="1" x14ac:dyDescent="0.3">
      <c r="A85" s="224"/>
      <c r="B85" s="224"/>
      <c r="C85" s="225"/>
      <c r="D85" s="225"/>
      <c r="E85" s="224"/>
      <c r="F85" s="234"/>
      <c r="G85" s="198"/>
      <c r="H85" s="132">
        <v>938</v>
      </c>
      <c r="I85" s="57" t="s">
        <v>39</v>
      </c>
      <c r="J85" s="57" t="s">
        <v>40</v>
      </c>
      <c r="K85" s="49" t="s">
        <v>154</v>
      </c>
      <c r="L85" s="72">
        <v>620</v>
      </c>
      <c r="M85" s="54">
        <v>0</v>
      </c>
      <c r="N85" s="54">
        <v>1000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</row>
    <row r="86" spans="1:21" ht="26.4" x14ac:dyDescent="0.3">
      <c r="A86" s="217"/>
      <c r="B86" s="217"/>
      <c r="C86" s="215"/>
      <c r="D86" s="215"/>
      <c r="E86" s="217"/>
      <c r="F86" s="235"/>
      <c r="G86" s="199"/>
      <c r="H86" s="132">
        <v>938</v>
      </c>
      <c r="I86" s="57" t="s">
        <v>39</v>
      </c>
      <c r="J86" s="57" t="s">
        <v>40</v>
      </c>
      <c r="K86" s="49" t="s">
        <v>155</v>
      </c>
      <c r="L86" s="73" t="s">
        <v>115</v>
      </c>
      <c r="M86" s="54">
        <v>0</v>
      </c>
      <c r="N86" s="54">
        <v>150</v>
      </c>
      <c r="O86" s="54">
        <f>126</f>
        <v>126</v>
      </c>
      <c r="P86" s="54">
        <v>0</v>
      </c>
      <c r="Q86" s="54">
        <v>0</v>
      </c>
      <c r="R86" s="54">
        <v>0</v>
      </c>
      <c r="S86" s="54">
        <v>0</v>
      </c>
      <c r="T86" s="54">
        <v>0</v>
      </c>
      <c r="U86" s="54">
        <v>0</v>
      </c>
    </row>
    <row r="87" spans="1:21" x14ac:dyDescent="0.3">
      <c r="A87" s="216" t="s">
        <v>11</v>
      </c>
      <c r="B87" s="216">
        <v>5</v>
      </c>
      <c r="C87" s="214" t="s">
        <v>88</v>
      </c>
      <c r="D87" s="214"/>
      <c r="E87" s="216"/>
      <c r="F87" s="220" t="s">
        <v>84</v>
      </c>
      <c r="G87" s="220" t="s">
        <v>38</v>
      </c>
      <c r="H87" s="133">
        <v>938</v>
      </c>
      <c r="I87" s="57" t="s">
        <v>39</v>
      </c>
      <c r="J87" s="57" t="s">
        <v>40</v>
      </c>
      <c r="K87" s="49" t="s">
        <v>182</v>
      </c>
      <c r="L87" s="74">
        <v>620</v>
      </c>
      <c r="M87" s="75">
        <v>0</v>
      </c>
      <c r="N87" s="55">
        <v>0</v>
      </c>
      <c r="O87" s="54">
        <v>0</v>
      </c>
      <c r="P87" s="54">
        <v>0</v>
      </c>
      <c r="Q87" s="54">
        <v>150</v>
      </c>
      <c r="R87" s="54">
        <v>0</v>
      </c>
      <c r="S87" s="54">
        <v>0</v>
      </c>
      <c r="T87" s="54">
        <v>0</v>
      </c>
      <c r="U87" s="54">
        <v>0</v>
      </c>
    </row>
    <row r="88" spans="1:21" s="118" customFormat="1" x14ac:dyDescent="0.3">
      <c r="A88" s="224"/>
      <c r="B88" s="224"/>
      <c r="C88" s="225"/>
      <c r="D88" s="225"/>
      <c r="E88" s="224"/>
      <c r="F88" s="220"/>
      <c r="G88" s="220"/>
      <c r="H88" s="133">
        <v>938</v>
      </c>
      <c r="I88" s="57" t="s">
        <v>39</v>
      </c>
      <c r="J88" s="57" t="s">
        <v>40</v>
      </c>
      <c r="K88" s="49" t="s">
        <v>184</v>
      </c>
      <c r="L88" s="74">
        <v>620</v>
      </c>
      <c r="M88" s="75">
        <v>0</v>
      </c>
      <c r="N88" s="55">
        <v>0</v>
      </c>
      <c r="O88" s="54">
        <v>0</v>
      </c>
      <c r="P88" s="54">
        <v>0</v>
      </c>
      <c r="Q88" s="54">
        <v>0</v>
      </c>
      <c r="R88" s="54">
        <v>0</v>
      </c>
      <c r="S88" s="54">
        <v>885.5</v>
      </c>
      <c r="T88" s="54">
        <v>821.1</v>
      </c>
      <c r="U88" s="54">
        <v>0</v>
      </c>
    </row>
    <row r="89" spans="1:21" s="118" customFormat="1" x14ac:dyDescent="0.3">
      <c r="A89" s="224"/>
      <c r="B89" s="224"/>
      <c r="C89" s="225"/>
      <c r="D89" s="225"/>
      <c r="E89" s="224"/>
      <c r="F89" s="220"/>
      <c r="G89" s="220"/>
      <c r="H89" s="133">
        <v>938</v>
      </c>
      <c r="I89" s="57" t="s">
        <v>39</v>
      </c>
      <c r="J89" s="57" t="s">
        <v>40</v>
      </c>
      <c r="K89" s="49" t="s">
        <v>156</v>
      </c>
      <c r="L89" s="74">
        <v>620</v>
      </c>
      <c r="M89" s="75">
        <v>43.9</v>
      </c>
      <c r="N89" s="55">
        <v>0</v>
      </c>
      <c r="O89" s="54">
        <v>0</v>
      </c>
      <c r="P89" s="54">
        <v>0</v>
      </c>
      <c r="Q89" s="54">
        <v>0</v>
      </c>
      <c r="R89" s="54">
        <v>0</v>
      </c>
      <c r="S89" s="54">
        <v>0</v>
      </c>
      <c r="T89" s="54">
        <v>0</v>
      </c>
      <c r="U89" s="54">
        <v>0</v>
      </c>
    </row>
    <row r="90" spans="1:21" x14ac:dyDescent="0.3">
      <c r="A90" s="224"/>
      <c r="B90" s="224"/>
      <c r="C90" s="225"/>
      <c r="D90" s="225"/>
      <c r="E90" s="224"/>
      <c r="F90" s="220"/>
      <c r="G90" s="220"/>
      <c r="H90" s="133">
        <v>938</v>
      </c>
      <c r="I90" s="57" t="s">
        <v>39</v>
      </c>
      <c r="J90" s="57" t="s">
        <v>40</v>
      </c>
      <c r="K90" s="49" t="s">
        <v>157</v>
      </c>
      <c r="L90" s="74">
        <v>620</v>
      </c>
      <c r="M90" s="75">
        <v>262.60000000000002</v>
      </c>
      <c r="N90" s="55">
        <v>0</v>
      </c>
      <c r="O90" s="54">
        <v>0</v>
      </c>
      <c r="P90" s="54">
        <v>0</v>
      </c>
      <c r="Q90" s="54">
        <v>0</v>
      </c>
      <c r="R90" s="54">
        <v>0</v>
      </c>
      <c r="S90" s="54">
        <v>0</v>
      </c>
      <c r="T90" s="54">
        <v>0</v>
      </c>
      <c r="U90" s="54">
        <v>0</v>
      </c>
    </row>
    <row r="91" spans="1:21" ht="15" customHeight="1" x14ac:dyDescent="0.3">
      <c r="A91" s="224"/>
      <c r="B91" s="224"/>
      <c r="C91" s="225"/>
      <c r="D91" s="225"/>
      <c r="E91" s="224"/>
      <c r="F91" s="220"/>
      <c r="G91" s="220"/>
      <c r="H91" s="132">
        <v>938</v>
      </c>
      <c r="I91" s="57" t="s">
        <v>39</v>
      </c>
      <c r="J91" s="57" t="s">
        <v>40</v>
      </c>
      <c r="K91" s="49" t="s">
        <v>158</v>
      </c>
      <c r="L91" s="72">
        <v>620</v>
      </c>
      <c r="M91" s="54">
        <v>0</v>
      </c>
      <c r="N91" s="54">
        <v>0</v>
      </c>
      <c r="O91" s="54">
        <v>300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  <c r="U91" s="54">
        <v>0</v>
      </c>
    </row>
    <row r="92" spans="1:21" ht="26.4" x14ac:dyDescent="0.3">
      <c r="A92" s="217"/>
      <c r="B92" s="217"/>
      <c r="C92" s="215"/>
      <c r="D92" s="215"/>
      <c r="E92" s="217"/>
      <c r="F92" s="219"/>
      <c r="G92" s="219"/>
      <c r="H92" s="133">
        <v>938</v>
      </c>
      <c r="I92" s="57" t="s">
        <v>70</v>
      </c>
      <c r="J92" s="57" t="s">
        <v>40</v>
      </c>
      <c r="K92" s="49" t="s">
        <v>98</v>
      </c>
      <c r="L92" s="67" t="s">
        <v>159</v>
      </c>
      <c r="M92" s="75">
        <v>94.4</v>
      </c>
      <c r="N92" s="55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</row>
    <row r="93" spans="1:21" x14ac:dyDescent="0.3">
      <c r="A93" s="216" t="s">
        <v>11</v>
      </c>
      <c r="B93" s="216">
        <v>5</v>
      </c>
      <c r="C93" s="227" t="s">
        <v>89</v>
      </c>
      <c r="D93" s="227"/>
      <c r="E93" s="230"/>
      <c r="F93" s="221" t="s">
        <v>107</v>
      </c>
      <c r="G93" s="197" t="s">
        <v>38</v>
      </c>
      <c r="H93" s="73">
        <v>938</v>
      </c>
      <c r="I93" s="57" t="s">
        <v>70</v>
      </c>
      <c r="J93" s="57" t="s">
        <v>40</v>
      </c>
      <c r="K93" s="49" t="s">
        <v>160</v>
      </c>
      <c r="L93" s="71">
        <v>465</v>
      </c>
      <c r="M93" s="54">
        <v>0</v>
      </c>
      <c r="N93" s="54">
        <v>15001.5</v>
      </c>
      <c r="O93" s="54">
        <v>8802.69</v>
      </c>
      <c r="P93" s="54">
        <v>0</v>
      </c>
      <c r="Q93" s="54">
        <v>0</v>
      </c>
      <c r="R93" s="54">
        <v>0</v>
      </c>
      <c r="S93" s="54">
        <v>0</v>
      </c>
      <c r="T93" s="54">
        <v>0</v>
      </c>
      <c r="U93" s="54">
        <v>0</v>
      </c>
    </row>
    <row r="94" spans="1:21" x14ac:dyDescent="0.3">
      <c r="A94" s="224"/>
      <c r="B94" s="224"/>
      <c r="C94" s="228"/>
      <c r="D94" s="228"/>
      <c r="E94" s="231"/>
      <c r="F94" s="222"/>
      <c r="G94" s="198"/>
      <c r="H94" s="73">
        <v>938</v>
      </c>
      <c r="I94" s="57" t="s">
        <v>70</v>
      </c>
      <c r="J94" s="57" t="s">
        <v>40</v>
      </c>
      <c r="K94" s="49" t="s">
        <v>161</v>
      </c>
      <c r="L94" s="71">
        <v>465</v>
      </c>
      <c r="M94" s="54">
        <v>0</v>
      </c>
      <c r="N94" s="54">
        <v>0</v>
      </c>
      <c r="O94" s="76">
        <v>0.88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4">
        <v>0</v>
      </c>
    </row>
    <row r="95" spans="1:21" ht="31.5" customHeight="1" x14ac:dyDescent="0.3">
      <c r="A95" s="226"/>
      <c r="B95" s="217"/>
      <c r="C95" s="229"/>
      <c r="D95" s="229"/>
      <c r="E95" s="232"/>
      <c r="F95" s="223"/>
      <c r="G95" s="199"/>
      <c r="H95" s="73">
        <v>938</v>
      </c>
      <c r="I95" s="57" t="s">
        <v>70</v>
      </c>
      <c r="J95" s="57" t="s">
        <v>40</v>
      </c>
      <c r="K95" s="49" t="s">
        <v>162</v>
      </c>
      <c r="L95" s="71">
        <v>465</v>
      </c>
      <c r="M95" s="54">
        <v>0</v>
      </c>
      <c r="N95" s="54">
        <v>40608.080000000002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</row>
    <row r="96" spans="1:21" ht="118.8" x14ac:dyDescent="0.3">
      <c r="A96" s="22" t="s">
        <v>11</v>
      </c>
      <c r="B96" s="22" t="s">
        <v>45</v>
      </c>
      <c r="C96" s="22" t="s">
        <v>105</v>
      </c>
      <c r="D96" s="22"/>
      <c r="E96" s="22"/>
      <c r="F96" s="61" t="s">
        <v>106</v>
      </c>
      <c r="G96" s="61" t="s">
        <v>38</v>
      </c>
      <c r="H96" s="125">
        <v>938</v>
      </c>
      <c r="I96" s="57" t="s">
        <v>39</v>
      </c>
      <c r="J96" s="57" t="s">
        <v>40</v>
      </c>
      <c r="K96" s="49" t="s">
        <v>162</v>
      </c>
      <c r="L96" s="124">
        <v>620</v>
      </c>
      <c r="M96" s="54">
        <v>0</v>
      </c>
      <c r="N96" s="54">
        <v>0</v>
      </c>
      <c r="O96" s="54">
        <v>8080.8</v>
      </c>
      <c r="P96" s="54">
        <v>0</v>
      </c>
      <c r="Q96" s="54">
        <v>0</v>
      </c>
      <c r="R96" s="54">
        <v>0</v>
      </c>
      <c r="S96" s="54">
        <v>0</v>
      </c>
      <c r="T96" s="54">
        <v>0</v>
      </c>
      <c r="U96" s="54">
        <v>0</v>
      </c>
    </row>
  </sheetData>
  <mergeCells count="144">
    <mergeCell ref="F67:F69"/>
    <mergeCell ref="G67:G69"/>
    <mergeCell ref="A65:A66"/>
    <mergeCell ref="F93:F95"/>
    <mergeCell ref="G93:G95"/>
    <mergeCell ref="B87:B92"/>
    <mergeCell ref="C87:C92"/>
    <mergeCell ref="D87:D92"/>
    <mergeCell ref="E87:E92"/>
    <mergeCell ref="A93:A95"/>
    <mergeCell ref="B93:B95"/>
    <mergeCell ref="C93:C95"/>
    <mergeCell ref="D93:D95"/>
    <mergeCell ref="E93:E95"/>
    <mergeCell ref="A74:A86"/>
    <mergeCell ref="B74:B86"/>
    <mergeCell ref="C74:C86"/>
    <mergeCell ref="D74:D86"/>
    <mergeCell ref="E74:E86"/>
    <mergeCell ref="F74:F86"/>
    <mergeCell ref="G74:G86"/>
    <mergeCell ref="F87:F92"/>
    <mergeCell ref="G87:G92"/>
    <mergeCell ref="A87:A92"/>
    <mergeCell ref="D20:D21"/>
    <mergeCell ref="E20:E21"/>
    <mergeCell ref="F20:F21"/>
    <mergeCell ref="G60:G63"/>
    <mergeCell ref="A72:A73"/>
    <mergeCell ref="B72:B73"/>
    <mergeCell ref="C72:C73"/>
    <mergeCell ref="D72:D73"/>
    <mergeCell ref="E72:E73"/>
    <mergeCell ref="F72:F73"/>
    <mergeCell ref="G72:G73"/>
    <mergeCell ref="F70:F71"/>
    <mergeCell ref="G70:G71"/>
    <mergeCell ref="A70:A71"/>
    <mergeCell ref="B70:B71"/>
    <mergeCell ref="C70:C71"/>
    <mergeCell ref="D70:D71"/>
    <mergeCell ref="E70:E71"/>
    <mergeCell ref="F65:F66"/>
    <mergeCell ref="A67:A69"/>
    <mergeCell ref="B67:B69"/>
    <mergeCell ref="C67:C69"/>
    <mergeCell ref="D67:D69"/>
    <mergeCell ref="E67:E69"/>
    <mergeCell ref="A60:A64"/>
    <mergeCell ref="B60:B64"/>
    <mergeCell ref="C60:C64"/>
    <mergeCell ref="D60:D64"/>
    <mergeCell ref="E60:E64"/>
    <mergeCell ref="F60:F64"/>
    <mergeCell ref="A32:A39"/>
    <mergeCell ref="B32:B39"/>
    <mergeCell ref="C32:C39"/>
    <mergeCell ref="D32:D39"/>
    <mergeCell ref="E32:E39"/>
    <mergeCell ref="F40:F44"/>
    <mergeCell ref="F32:F39"/>
    <mergeCell ref="B65:B66"/>
    <mergeCell ref="C65:C66"/>
    <mergeCell ref="D65:D66"/>
    <mergeCell ref="E65:E66"/>
    <mergeCell ref="F47:F50"/>
    <mergeCell ref="G47:G50"/>
    <mergeCell ref="A51:A52"/>
    <mergeCell ref="B51:B52"/>
    <mergeCell ref="C51:C52"/>
    <mergeCell ref="D51:D52"/>
    <mergeCell ref="E51:E52"/>
    <mergeCell ref="F51:F52"/>
    <mergeCell ref="G51:G52"/>
    <mergeCell ref="A47:A50"/>
    <mergeCell ref="B47:B50"/>
    <mergeCell ref="C47:C50"/>
    <mergeCell ref="D47:D50"/>
    <mergeCell ref="E47:E50"/>
    <mergeCell ref="A53:A57"/>
    <mergeCell ref="B53:B57"/>
    <mergeCell ref="C53:C57"/>
    <mergeCell ref="D53:D57"/>
    <mergeCell ref="E53:E57"/>
    <mergeCell ref="F53:F57"/>
    <mergeCell ref="G40:G44"/>
    <mergeCell ref="A45:A46"/>
    <mergeCell ref="B45:B46"/>
    <mergeCell ref="C45:C46"/>
    <mergeCell ref="D45:D46"/>
    <mergeCell ref="E45:E46"/>
    <mergeCell ref="F45:F46"/>
    <mergeCell ref="A40:A44"/>
    <mergeCell ref="B40:B44"/>
    <mergeCell ref="C40:C44"/>
    <mergeCell ref="D40:D44"/>
    <mergeCell ref="E40:E44"/>
    <mergeCell ref="G32:G39"/>
    <mergeCell ref="A29:A31"/>
    <mergeCell ref="B29:B31"/>
    <mergeCell ref="C29:C31"/>
    <mergeCell ref="D29:D31"/>
    <mergeCell ref="E29:E31"/>
    <mergeCell ref="F22:F23"/>
    <mergeCell ref="F27:F28"/>
    <mergeCell ref="E27:E28"/>
    <mergeCell ref="G22:G23"/>
    <mergeCell ref="A24:A26"/>
    <mergeCell ref="B24:B26"/>
    <mergeCell ref="C24:C26"/>
    <mergeCell ref="D24:D26"/>
    <mergeCell ref="E24:E26"/>
    <mergeCell ref="F24:F26"/>
    <mergeCell ref="G24:G26"/>
    <mergeCell ref="A27:A28"/>
    <mergeCell ref="B27:B28"/>
    <mergeCell ref="C27:C28"/>
    <mergeCell ref="D27:D28"/>
    <mergeCell ref="F29:F31"/>
    <mergeCell ref="G29:G31"/>
    <mergeCell ref="A9:U9"/>
    <mergeCell ref="F10:U10"/>
    <mergeCell ref="A11:U11"/>
    <mergeCell ref="P3:Q3"/>
    <mergeCell ref="O4:Q4"/>
    <mergeCell ref="A22:A23"/>
    <mergeCell ref="B22:B23"/>
    <mergeCell ref="C22:C23"/>
    <mergeCell ref="D22:D23"/>
    <mergeCell ref="E22:E23"/>
    <mergeCell ref="A13:E13"/>
    <mergeCell ref="F13:F14"/>
    <mergeCell ref="G13:G14"/>
    <mergeCell ref="H13:L13"/>
    <mergeCell ref="M13:U13"/>
    <mergeCell ref="A15:A19"/>
    <mergeCell ref="B15:B19"/>
    <mergeCell ref="C15:C19"/>
    <mergeCell ref="D15:D19"/>
    <mergeCell ref="E15:E19"/>
    <mergeCell ref="F15:F19"/>
    <mergeCell ref="A20:A21"/>
    <mergeCell ref="B20:B21"/>
    <mergeCell ref="C20:C21"/>
  </mergeCells>
  <pageMargins left="0" right="0" top="0" bottom="0" header="0" footer="0"/>
  <pageSetup paperSize="9" scale="70" fitToHeight="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65"/>
  <sheetViews>
    <sheetView tabSelected="1" topLeftCell="B1" workbookViewId="0">
      <selection activeCell="N4" sqref="N4"/>
    </sheetView>
  </sheetViews>
  <sheetFormatPr defaultRowHeight="14.4" x14ac:dyDescent="0.3"/>
  <cols>
    <col min="1" max="1" width="6.33203125" customWidth="1"/>
    <col min="2" max="2" width="7" customWidth="1"/>
    <col min="3" max="3" width="14.6640625" customWidth="1"/>
    <col min="4" max="4" width="33.6640625" customWidth="1"/>
    <col min="5" max="5" width="12.33203125" customWidth="1"/>
    <col min="6" max="6" width="11.44140625" customWidth="1"/>
    <col min="7" max="7" width="9.109375" customWidth="1"/>
    <col min="9" max="11" width="9.109375" style="17"/>
    <col min="12" max="12" width="11.88671875" style="17" customWidth="1"/>
    <col min="13" max="14" width="9.109375" style="17"/>
  </cols>
  <sheetData>
    <row r="1" spans="1:16" ht="19.5" customHeight="1" x14ac:dyDescent="0.3">
      <c r="A1" s="87"/>
      <c r="B1" s="87"/>
      <c r="C1" s="87"/>
      <c r="D1" s="87"/>
      <c r="E1" s="87"/>
      <c r="F1" s="87"/>
      <c r="G1" s="87"/>
      <c r="H1" s="17"/>
      <c r="I1" s="236"/>
      <c r="J1" s="236"/>
      <c r="K1" s="104"/>
      <c r="L1" s="109"/>
      <c r="M1" s="109"/>
      <c r="N1" s="129" t="s">
        <v>197</v>
      </c>
    </row>
    <row r="2" spans="1:16" s="121" customFormat="1" ht="15.75" customHeight="1" x14ac:dyDescent="0.3">
      <c r="H2" s="17"/>
      <c r="I2" s="136"/>
      <c r="J2" s="136"/>
      <c r="K2" s="136"/>
      <c r="L2" s="136"/>
      <c r="M2" s="136"/>
      <c r="N2" s="129" t="s">
        <v>200</v>
      </c>
    </row>
    <row r="3" spans="1:16" x14ac:dyDescent="0.3">
      <c r="A3" s="87"/>
      <c r="B3" s="87"/>
      <c r="C3" s="87"/>
      <c r="D3" s="87"/>
      <c r="E3" s="87"/>
      <c r="F3" s="87"/>
      <c r="G3" s="237"/>
      <c r="H3" s="237"/>
      <c r="I3" s="237"/>
      <c r="J3" s="237"/>
      <c r="K3" s="77"/>
      <c r="L3" s="77"/>
      <c r="M3" s="77"/>
      <c r="N3" s="129" t="s">
        <v>201</v>
      </c>
      <c r="O3" s="37"/>
      <c r="P3" s="37"/>
    </row>
    <row r="4" spans="1:16" x14ac:dyDescent="0.3">
      <c r="A4" s="86"/>
      <c r="B4" s="86"/>
      <c r="C4" s="86"/>
      <c r="D4" s="86"/>
      <c r="E4" s="86"/>
      <c r="F4" s="86"/>
      <c r="G4" s="87"/>
      <c r="H4" s="17"/>
      <c r="I4" s="238"/>
      <c r="J4" s="238"/>
      <c r="K4" s="78"/>
      <c r="L4" s="78"/>
      <c r="M4" s="78"/>
      <c r="N4" s="129"/>
      <c r="O4" s="37"/>
      <c r="P4" s="36"/>
    </row>
    <row r="5" spans="1:16" ht="15" customHeight="1" x14ac:dyDescent="0.3">
      <c r="A5" s="86"/>
      <c r="B5" s="86"/>
      <c r="C5" s="86"/>
      <c r="D5" s="86"/>
      <c r="E5" s="86"/>
      <c r="F5" s="86"/>
      <c r="G5" s="87"/>
      <c r="H5" s="17"/>
      <c r="J5" s="115"/>
      <c r="K5" s="105"/>
      <c r="L5" s="110"/>
      <c r="M5" s="110"/>
      <c r="N5" s="46" t="s">
        <v>198</v>
      </c>
      <c r="O5" s="38"/>
      <c r="P5" s="36"/>
    </row>
    <row r="6" spans="1:16" ht="15" customHeight="1" x14ac:dyDescent="0.3">
      <c r="A6" s="86"/>
      <c r="B6" s="86"/>
      <c r="C6" s="86"/>
      <c r="D6" s="86"/>
      <c r="E6" s="86"/>
      <c r="F6" s="134"/>
      <c r="G6" s="134"/>
      <c r="H6" s="134"/>
      <c r="I6" s="134"/>
      <c r="J6" s="134"/>
      <c r="K6" s="79"/>
      <c r="L6" s="79"/>
      <c r="M6" s="79"/>
      <c r="N6" s="46" t="s">
        <v>187</v>
      </c>
      <c r="O6" s="39"/>
      <c r="P6" s="39"/>
    </row>
    <row r="7" spans="1:16" x14ac:dyDescent="0.3">
      <c r="A7" s="86"/>
      <c r="B7" s="86"/>
      <c r="C7" s="86"/>
      <c r="D7" s="86"/>
      <c r="E7" s="86"/>
      <c r="F7" s="86"/>
      <c r="G7" s="239"/>
      <c r="H7" s="239"/>
      <c r="I7" s="239"/>
      <c r="J7" s="239"/>
      <c r="K7" s="80"/>
      <c r="L7" s="80"/>
      <c r="M7" s="80"/>
      <c r="N7" s="46" t="s">
        <v>188</v>
      </c>
    </row>
    <row r="8" spans="1:16" ht="11.25" customHeight="1" x14ac:dyDescent="0.3">
      <c r="A8" s="86"/>
      <c r="B8" s="86"/>
      <c r="C8" s="86"/>
      <c r="D8" s="86"/>
      <c r="E8" s="86"/>
      <c r="F8" s="86"/>
      <c r="G8" s="86"/>
      <c r="H8" s="81"/>
      <c r="I8" s="18"/>
      <c r="J8" s="18"/>
      <c r="K8" s="18"/>
      <c r="L8" s="18"/>
      <c r="M8" s="18"/>
      <c r="N8" s="18"/>
    </row>
    <row r="9" spans="1:16" ht="33" customHeight="1" x14ac:dyDescent="0.3">
      <c r="A9" s="246" t="s">
        <v>90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</row>
    <row r="10" spans="1:16" ht="17.25" customHeight="1" x14ac:dyDescent="0.3">
      <c r="A10" s="156" t="s">
        <v>193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</row>
    <row r="11" spans="1:16" ht="15.6" x14ac:dyDescent="0.3">
      <c r="A11" s="156" t="s">
        <v>72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</row>
    <row r="12" spans="1:16" ht="9.75" customHeight="1" x14ac:dyDescent="0.3">
      <c r="A12" s="23"/>
      <c r="B12" s="23"/>
      <c r="C12" s="23"/>
      <c r="D12" s="82"/>
      <c r="E12" s="23"/>
      <c r="F12" s="23"/>
      <c r="G12" s="23"/>
      <c r="H12" s="83"/>
      <c r="I12" s="83"/>
      <c r="J12" s="83"/>
      <c r="K12" s="83"/>
      <c r="L12" s="83"/>
      <c r="M12" s="83"/>
      <c r="N12" s="83"/>
    </row>
    <row r="13" spans="1:16" ht="45.75" customHeight="1" x14ac:dyDescent="0.3">
      <c r="A13" s="247" t="s">
        <v>1</v>
      </c>
      <c r="B13" s="248"/>
      <c r="C13" s="88" t="s">
        <v>46</v>
      </c>
      <c r="D13" s="251" t="s">
        <v>47</v>
      </c>
      <c r="E13" s="254" t="s">
        <v>48</v>
      </c>
      <c r="F13" s="255"/>
      <c r="G13" s="255"/>
      <c r="H13" s="255"/>
      <c r="I13" s="255"/>
      <c r="J13" s="255"/>
      <c r="K13" s="255"/>
      <c r="L13" s="255"/>
      <c r="M13" s="255"/>
      <c r="N13" s="256"/>
    </row>
    <row r="14" spans="1:16" ht="25.5" customHeight="1" x14ac:dyDescent="0.3">
      <c r="A14" s="249"/>
      <c r="B14" s="250"/>
      <c r="C14" s="88" t="s">
        <v>10</v>
      </c>
      <c r="D14" s="252"/>
      <c r="E14" s="257" t="s">
        <v>73</v>
      </c>
      <c r="F14" s="257" t="s">
        <v>6</v>
      </c>
      <c r="G14" s="259" t="s">
        <v>24</v>
      </c>
      <c r="H14" s="261" t="s">
        <v>52</v>
      </c>
      <c r="I14" s="261" t="s">
        <v>53</v>
      </c>
      <c r="J14" s="261" t="s">
        <v>54</v>
      </c>
      <c r="K14" s="261" t="s">
        <v>104</v>
      </c>
      <c r="L14" s="261" t="s">
        <v>109</v>
      </c>
      <c r="M14" s="261" t="s">
        <v>177</v>
      </c>
      <c r="N14" s="261" t="s">
        <v>178</v>
      </c>
    </row>
    <row r="15" spans="1:16" ht="11.25" customHeight="1" x14ac:dyDescent="0.3">
      <c r="A15" s="88" t="s">
        <v>7</v>
      </c>
      <c r="B15" s="88" t="s">
        <v>8</v>
      </c>
      <c r="C15" s="88"/>
      <c r="D15" s="253"/>
      <c r="E15" s="258"/>
      <c r="F15" s="258"/>
      <c r="G15" s="260"/>
      <c r="H15" s="262"/>
      <c r="I15" s="262"/>
      <c r="J15" s="262"/>
      <c r="K15" s="262"/>
      <c r="L15" s="262"/>
      <c r="M15" s="262"/>
      <c r="N15" s="262"/>
    </row>
    <row r="16" spans="1:16" ht="15" customHeight="1" x14ac:dyDescent="0.3">
      <c r="A16" s="88">
        <v>1</v>
      </c>
      <c r="B16" s="88">
        <v>2</v>
      </c>
      <c r="C16" s="88">
        <v>3</v>
      </c>
      <c r="D16" s="88">
        <v>4</v>
      </c>
      <c r="E16" s="89">
        <v>5</v>
      </c>
      <c r="F16" s="84">
        <v>6</v>
      </c>
      <c r="G16" s="89">
        <v>7</v>
      </c>
      <c r="H16" s="90">
        <v>8</v>
      </c>
      <c r="I16" s="90">
        <v>9</v>
      </c>
      <c r="J16" s="90">
        <v>10</v>
      </c>
      <c r="K16" s="90">
        <v>11</v>
      </c>
      <c r="L16" s="90">
        <v>12</v>
      </c>
      <c r="M16" s="90">
        <v>13</v>
      </c>
      <c r="N16" s="90">
        <v>14</v>
      </c>
    </row>
    <row r="17" spans="1:14" ht="15" customHeight="1" x14ac:dyDescent="0.3">
      <c r="A17" s="240" t="s">
        <v>11</v>
      </c>
      <c r="B17" s="240"/>
      <c r="C17" s="243" t="s">
        <v>194</v>
      </c>
      <c r="D17" s="24" t="s">
        <v>74</v>
      </c>
      <c r="E17" s="28">
        <f>SUM(F17:N17)</f>
        <v>1845061.4190699998</v>
      </c>
      <c r="F17" s="28">
        <f t="shared" ref="F17:N17" si="0">F18+F23+F24</f>
        <v>153170.00000000003</v>
      </c>
      <c r="G17" s="28">
        <f t="shared" si="0"/>
        <v>206007.97000000003</v>
      </c>
      <c r="H17" s="30">
        <f t="shared" si="0"/>
        <v>162152.11059</v>
      </c>
      <c r="I17" s="30">
        <f t="shared" si="0"/>
        <v>171069.93848000004</v>
      </c>
      <c r="J17" s="30">
        <f>J18+J23+J24</f>
        <v>241318.69999999998</v>
      </c>
      <c r="K17" s="30">
        <f>K18+K23+K24</f>
        <v>234408.40000000002</v>
      </c>
      <c r="L17" s="30">
        <f t="shared" ref="L17:M17" si="1">L18+L23+L24</f>
        <v>225155.7</v>
      </c>
      <c r="M17" s="30">
        <f t="shared" si="1"/>
        <v>225104.2</v>
      </c>
      <c r="N17" s="30">
        <f t="shared" si="0"/>
        <v>226674.4</v>
      </c>
    </row>
    <row r="18" spans="1:14" x14ac:dyDescent="0.3">
      <c r="A18" s="241"/>
      <c r="B18" s="241"/>
      <c r="C18" s="244"/>
      <c r="D18" s="25" t="s">
        <v>75</v>
      </c>
      <c r="E18" s="28">
        <f t="shared" ref="E18:E24" si="2">SUM(F18:N18)</f>
        <v>1668119.1310699999</v>
      </c>
      <c r="F18" s="29">
        <f t="shared" ref="F18:N18" si="3">F20+F21+F22</f>
        <v>141400.30000000002</v>
      </c>
      <c r="G18" s="29">
        <f t="shared" si="3"/>
        <v>191663.77000000002</v>
      </c>
      <c r="H18" s="31">
        <f>H20+H21+H22+0.1</f>
        <v>144002.52259000001</v>
      </c>
      <c r="I18" s="31">
        <f t="shared" si="3"/>
        <v>144633.23848000003</v>
      </c>
      <c r="J18" s="31">
        <f>J20+J21+J22</f>
        <v>212648.59999999998</v>
      </c>
      <c r="K18" s="31">
        <f>K20+K21+K22</f>
        <v>215015.40000000002</v>
      </c>
      <c r="L18" s="31">
        <f t="shared" ref="L18:M18" si="4">L20+L21+L22</f>
        <v>205762.7</v>
      </c>
      <c r="M18" s="31">
        <f t="shared" si="4"/>
        <v>205711.2</v>
      </c>
      <c r="N18" s="31">
        <f t="shared" si="3"/>
        <v>207281.4</v>
      </c>
    </row>
    <row r="19" spans="1:14" x14ac:dyDescent="0.3">
      <c r="A19" s="241"/>
      <c r="B19" s="241"/>
      <c r="C19" s="244"/>
      <c r="D19" s="26" t="s">
        <v>49</v>
      </c>
      <c r="E19" s="28">
        <f t="shared" si="2"/>
        <v>0</v>
      </c>
      <c r="F19" s="27">
        <f t="shared" ref="F19:N24" si="5">F27+F35+F43+F51+F59</f>
        <v>0</v>
      </c>
      <c r="G19" s="27">
        <f t="shared" si="5"/>
        <v>0</v>
      </c>
      <c r="H19" s="21">
        <f t="shared" si="5"/>
        <v>0</v>
      </c>
      <c r="I19" s="21">
        <f>I27+I35+I43+I51+I59</f>
        <v>0</v>
      </c>
      <c r="J19" s="21">
        <f t="shared" si="5"/>
        <v>0</v>
      </c>
      <c r="K19" s="21">
        <f>K27+K35+K43+K51+K59</f>
        <v>0</v>
      </c>
      <c r="L19" s="21">
        <f t="shared" ref="L19:M19" si="6">L27+L35+L43+L51+L59</f>
        <v>0</v>
      </c>
      <c r="M19" s="21">
        <f t="shared" si="6"/>
        <v>0</v>
      </c>
      <c r="N19" s="21">
        <f>N27+N35+N43+N51+N59</f>
        <v>0</v>
      </c>
    </row>
    <row r="20" spans="1:14" ht="24.6" x14ac:dyDescent="0.3">
      <c r="A20" s="241"/>
      <c r="B20" s="241"/>
      <c r="C20" s="244"/>
      <c r="D20" s="26" t="s">
        <v>76</v>
      </c>
      <c r="E20" s="28">
        <f t="shared" si="2"/>
        <v>1569083.9595899999</v>
      </c>
      <c r="F20" s="27">
        <f t="shared" si="5"/>
        <v>139551.1</v>
      </c>
      <c r="G20" s="27">
        <f t="shared" si="5"/>
        <v>122193.78000000001</v>
      </c>
      <c r="H20" s="21">
        <f t="shared" si="5"/>
        <v>123769.97959</v>
      </c>
      <c r="I20" s="21">
        <f t="shared" si="5"/>
        <v>141634.70000000001</v>
      </c>
      <c r="J20" s="21">
        <f>J28+J36+J44+J52+J60</f>
        <v>208937.99999999997</v>
      </c>
      <c r="K20" s="21">
        <f t="shared" si="5"/>
        <v>214630.2</v>
      </c>
      <c r="L20" s="21">
        <f t="shared" si="5"/>
        <v>205574.6</v>
      </c>
      <c r="M20" s="21">
        <f t="shared" si="5"/>
        <v>205510.2</v>
      </c>
      <c r="N20" s="21">
        <f t="shared" si="5"/>
        <v>207281.4</v>
      </c>
    </row>
    <row r="21" spans="1:14" ht="24.6" x14ac:dyDescent="0.3">
      <c r="A21" s="241"/>
      <c r="B21" s="241"/>
      <c r="C21" s="244"/>
      <c r="D21" s="26" t="s">
        <v>77</v>
      </c>
      <c r="E21" s="28">
        <f t="shared" si="2"/>
        <v>35713.87999999999</v>
      </c>
      <c r="F21" s="27">
        <f t="shared" si="5"/>
        <v>1849.2</v>
      </c>
      <c r="G21" s="27">
        <f t="shared" si="5"/>
        <v>24689.29</v>
      </c>
      <c r="H21" s="21">
        <f t="shared" si="5"/>
        <v>8802.69</v>
      </c>
      <c r="I21" s="21">
        <f t="shared" si="5"/>
        <v>75.099999999999994</v>
      </c>
      <c r="J21" s="21">
        <f t="shared" si="5"/>
        <v>204.7</v>
      </c>
      <c r="K21" s="21">
        <f t="shared" si="5"/>
        <v>46.2</v>
      </c>
      <c r="L21" s="21">
        <f t="shared" si="5"/>
        <v>22.6</v>
      </c>
      <c r="M21" s="21">
        <f t="shared" si="5"/>
        <v>24.1</v>
      </c>
      <c r="N21" s="21">
        <f>N29+N37+N45+N53+N61</f>
        <v>0</v>
      </c>
    </row>
    <row r="22" spans="1:14" ht="21.75" customHeight="1" x14ac:dyDescent="0.3">
      <c r="A22" s="241"/>
      <c r="B22" s="241"/>
      <c r="C22" s="244"/>
      <c r="D22" s="26" t="s">
        <v>78</v>
      </c>
      <c r="E22" s="28">
        <f t="shared" si="2"/>
        <v>63321.191479999994</v>
      </c>
      <c r="F22" s="27">
        <f t="shared" si="5"/>
        <v>0</v>
      </c>
      <c r="G22" s="27">
        <f>G30+G38+G46+G54+G62</f>
        <v>44780.7</v>
      </c>
      <c r="H22" s="21">
        <f>H30+H38+H46+H54+H62</f>
        <v>11429.753000000001</v>
      </c>
      <c r="I22" s="21">
        <f>I30+I38+I46+I54+I62</f>
        <v>2923.4384800000003</v>
      </c>
      <c r="J22" s="21">
        <f t="shared" si="5"/>
        <v>3505.9</v>
      </c>
      <c r="K22" s="21">
        <f>K30+K38+K46+K54+K62</f>
        <v>339</v>
      </c>
      <c r="L22" s="21">
        <f t="shared" si="5"/>
        <v>165.5</v>
      </c>
      <c r="M22" s="21">
        <f t="shared" si="5"/>
        <v>176.9</v>
      </c>
      <c r="N22" s="21">
        <f>N30+N38+N46+N54+N62</f>
        <v>0</v>
      </c>
    </row>
    <row r="23" spans="1:14" ht="36.6" x14ac:dyDescent="0.3">
      <c r="A23" s="241"/>
      <c r="B23" s="241"/>
      <c r="C23" s="244"/>
      <c r="D23" s="25" t="s">
        <v>79</v>
      </c>
      <c r="E23" s="28">
        <f t="shared" si="2"/>
        <v>0</v>
      </c>
      <c r="F23" s="27">
        <f t="shared" si="5"/>
        <v>0</v>
      </c>
      <c r="G23" s="27">
        <f t="shared" si="5"/>
        <v>0</v>
      </c>
      <c r="H23" s="21">
        <f t="shared" si="5"/>
        <v>0</v>
      </c>
      <c r="I23" s="21">
        <f>I31+I39+I47+I55+I63</f>
        <v>0</v>
      </c>
      <c r="J23" s="21">
        <f t="shared" si="5"/>
        <v>0</v>
      </c>
      <c r="K23" s="21">
        <f>K31+K39+K47+K55+K63</f>
        <v>0</v>
      </c>
      <c r="L23" s="21">
        <f t="shared" si="5"/>
        <v>0</v>
      </c>
      <c r="M23" s="21">
        <f t="shared" si="5"/>
        <v>0</v>
      </c>
      <c r="N23" s="21">
        <f>N31+N39+N47+N55+N63</f>
        <v>0</v>
      </c>
    </row>
    <row r="24" spans="1:14" ht="15" customHeight="1" x14ac:dyDescent="0.3">
      <c r="A24" s="242"/>
      <c r="B24" s="242"/>
      <c r="C24" s="245"/>
      <c r="D24" s="25" t="s">
        <v>80</v>
      </c>
      <c r="E24" s="28">
        <f t="shared" si="2"/>
        <v>176942.288</v>
      </c>
      <c r="F24" s="27">
        <f t="shared" si="5"/>
        <v>11769.699999999999</v>
      </c>
      <c r="G24" s="27">
        <f>G32+G40+G48+G56+G64</f>
        <v>14344.2</v>
      </c>
      <c r="H24" s="21">
        <f t="shared" si="5"/>
        <v>18149.588</v>
      </c>
      <c r="I24" s="21">
        <f>I32+I40+I48+I56+I64</f>
        <v>26436.7</v>
      </c>
      <c r="J24" s="21">
        <f>J32+J40+J48+J56+J64</f>
        <v>28670.1</v>
      </c>
      <c r="K24" s="21">
        <f>K32+K40+K48+K56+K64</f>
        <v>19393</v>
      </c>
      <c r="L24" s="21">
        <f t="shared" si="5"/>
        <v>19393</v>
      </c>
      <c r="M24" s="21">
        <f t="shared" si="5"/>
        <v>19393</v>
      </c>
      <c r="N24" s="21">
        <f>N32+N40+N48+N56+N64</f>
        <v>19393</v>
      </c>
    </row>
    <row r="25" spans="1:14" ht="15" customHeight="1" x14ac:dyDescent="0.3">
      <c r="A25" s="240" t="s">
        <v>11</v>
      </c>
      <c r="B25" s="240" t="s">
        <v>17</v>
      </c>
      <c r="C25" s="243" t="s">
        <v>91</v>
      </c>
      <c r="D25" s="24" t="s">
        <v>74</v>
      </c>
      <c r="E25" s="28">
        <f t="shared" ref="E25:E39" si="7">SUM(F25:N25)</f>
        <v>1159622.0673199999</v>
      </c>
      <c r="F25" s="28">
        <f t="shared" ref="F25:N25" si="8">F26+F31+F32</f>
        <v>88910.8</v>
      </c>
      <c r="G25" s="28">
        <f t="shared" si="8"/>
        <v>90707.099999999991</v>
      </c>
      <c r="H25" s="30">
        <f t="shared" si="8"/>
        <v>94316.967319999996</v>
      </c>
      <c r="I25" s="30">
        <f t="shared" si="8"/>
        <v>109283.40000000001</v>
      </c>
      <c r="J25" s="30">
        <f t="shared" si="8"/>
        <v>156719.69999999998</v>
      </c>
      <c r="K25" s="30">
        <f>K26+K31+K32</f>
        <v>161718.70000000001</v>
      </c>
      <c r="L25" s="30">
        <f t="shared" ref="L25:M25" si="9">L26+L31+L32</f>
        <v>151777.70000000001</v>
      </c>
      <c r="M25" s="30">
        <f t="shared" si="9"/>
        <v>151777.70000000001</v>
      </c>
      <c r="N25" s="30">
        <f t="shared" si="8"/>
        <v>154410</v>
      </c>
    </row>
    <row r="26" spans="1:14" x14ac:dyDescent="0.3">
      <c r="A26" s="241"/>
      <c r="B26" s="241"/>
      <c r="C26" s="244"/>
      <c r="D26" s="25" t="s">
        <v>75</v>
      </c>
      <c r="E26" s="28">
        <f t="shared" si="7"/>
        <v>1032755.7203199998</v>
      </c>
      <c r="F26" s="31">
        <f t="shared" ref="F26:N26" si="10">F28+F29+F30</f>
        <v>78909</v>
      </c>
      <c r="G26" s="29">
        <f t="shared" si="10"/>
        <v>79327.899999999994</v>
      </c>
      <c r="H26" s="31">
        <f t="shared" si="10"/>
        <v>81588.120320000002</v>
      </c>
      <c r="I26" s="31">
        <f>I28+I29+I30</f>
        <v>92083.700000000012</v>
      </c>
      <c r="J26" s="31">
        <f t="shared" si="10"/>
        <v>137162.9</v>
      </c>
      <c r="K26" s="31">
        <f>K28+K29+K30</f>
        <v>147718.70000000001</v>
      </c>
      <c r="L26" s="31">
        <f t="shared" ref="L26:M26" si="11">L28+L29+L30</f>
        <v>137777.70000000001</v>
      </c>
      <c r="M26" s="31">
        <f t="shared" si="11"/>
        <v>137777.70000000001</v>
      </c>
      <c r="N26" s="31">
        <f t="shared" si="10"/>
        <v>140410</v>
      </c>
    </row>
    <row r="27" spans="1:14" x14ac:dyDescent="0.3">
      <c r="A27" s="241"/>
      <c r="B27" s="241"/>
      <c r="C27" s="244"/>
      <c r="D27" s="26" t="s">
        <v>49</v>
      </c>
      <c r="E27" s="28">
        <f t="shared" si="7"/>
        <v>0</v>
      </c>
      <c r="F27" s="27">
        <v>0</v>
      </c>
      <c r="G27" s="27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</row>
    <row r="28" spans="1:14" ht="24.6" x14ac:dyDescent="0.3">
      <c r="A28" s="241"/>
      <c r="B28" s="241"/>
      <c r="C28" s="244"/>
      <c r="D28" s="26" t="s">
        <v>76</v>
      </c>
      <c r="E28" s="28">
        <f t="shared" si="7"/>
        <v>1032755.7203199998</v>
      </c>
      <c r="F28" s="27">
        <f>'[1]Приложение5+'!M20</f>
        <v>78909</v>
      </c>
      <c r="G28" s="27">
        <f>'[1]Приложение5+'!N20</f>
        <v>79327.899999999994</v>
      </c>
      <c r="H28" s="21">
        <f>'[1]Приложение5+'!O20</f>
        <v>81588.120320000002</v>
      </c>
      <c r="I28" s="21">
        <f>Приложение5!P21</f>
        <v>92083.700000000012</v>
      </c>
      <c r="J28" s="21">
        <f>Приложение5!Q21</f>
        <v>137162.9</v>
      </c>
      <c r="K28" s="21">
        <f>Приложение5!R21</f>
        <v>147718.70000000001</v>
      </c>
      <c r="L28" s="21">
        <f>Приложение5!S21</f>
        <v>137777.70000000001</v>
      </c>
      <c r="M28" s="21">
        <f>Приложение5!T21</f>
        <v>137777.70000000001</v>
      </c>
      <c r="N28" s="21">
        <f>Приложение5!U21</f>
        <v>140410</v>
      </c>
    </row>
    <row r="29" spans="1:14" ht="24.6" x14ac:dyDescent="0.3">
      <c r="A29" s="241"/>
      <c r="B29" s="241"/>
      <c r="C29" s="244"/>
      <c r="D29" s="26" t="s">
        <v>77</v>
      </c>
      <c r="E29" s="28">
        <f t="shared" si="7"/>
        <v>0</v>
      </c>
      <c r="F29" s="27">
        <v>0</v>
      </c>
      <c r="G29" s="27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</row>
    <row r="30" spans="1:14" ht="22.5" customHeight="1" x14ac:dyDescent="0.3">
      <c r="A30" s="241"/>
      <c r="B30" s="241"/>
      <c r="C30" s="244"/>
      <c r="D30" s="26" t="s">
        <v>78</v>
      </c>
      <c r="E30" s="28">
        <f t="shared" si="7"/>
        <v>0</v>
      </c>
      <c r="F30" s="27">
        <v>0</v>
      </c>
      <c r="G30" s="27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</row>
    <row r="31" spans="1:14" ht="36.6" x14ac:dyDescent="0.3">
      <c r="A31" s="241"/>
      <c r="B31" s="241"/>
      <c r="C31" s="244"/>
      <c r="D31" s="25" t="s">
        <v>79</v>
      </c>
      <c r="E31" s="28">
        <f t="shared" si="7"/>
        <v>0</v>
      </c>
      <c r="F31" s="27">
        <v>0</v>
      </c>
      <c r="G31" s="27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</row>
    <row r="32" spans="1:14" ht="15" customHeight="1" x14ac:dyDescent="0.3">
      <c r="A32" s="242"/>
      <c r="B32" s="242"/>
      <c r="C32" s="245"/>
      <c r="D32" s="25" t="s">
        <v>80</v>
      </c>
      <c r="E32" s="28">
        <f t="shared" si="7"/>
        <v>126866.34700000001</v>
      </c>
      <c r="F32" s="21">
        <v>10001.799999999999</v>
      </c>
      <c r="G32" s="85">
        <f>901+2531.6+7946.6</f>
        <v>11379.2</v>
      </c>
      <c r="H32" s="21">
        <f>999.77+2992.042+8737.035</f>
        <v>12728.847</v>
      </c>
      <c r="I32" s="21">
        <v>17199.7</v>
      </c>
      <c r="J32" s="21">
        <v>19556.8</v>
      </c>
      <c r="K32" s="21">
        <v>14000</v>
      </c>
      <c r="L32" s="21">
        <v>14000</v>
      </c>
      <c r="M32" s="21">
        <v>14000</v>
      </c>
      <c r="N32" s="21">
        <v>14000</v>
      </c>
    </row>
    <row r="33" spans="1:14" ht="15" customHeight="1" x14ac:dyDescent="0.3">
      <c r="A33" s="240" t="s">
        <v>11</v>
      </c>
      <c r="B33" s="240" t="s">
        <v>16</v>
      </c>
      <c r="C33" s="243" t="s">
        <v>55</v>
      </c>
      <c r="D33" s="24" t="s">
        <v>74</v>
      </c>
      <c r="E33" s="28">
        <f t="shared" si="7"/>
        <v>364333.26347999997</v>
      </c>
      <c r="F33" s="30">
        <f t="shared" ref="F33:N33" si="12">F34+F39+F40</f>
        <v>31763.599999999999</v>
      </c>
      <c r="G33" s="30">
        <f t="shared" si="12"/>
        <v>39828.79</v>
      </c>
      <c r="H33" s="30">
        <f t="shared" si="12"/>
        <v>29556.634999999998</v>
      </c>
      <c r="I33" s="30">
        <f t="shared" si="12"/>
        <v>32999.938480000004</v>
      </c>
      <c r="J33" s="30">
        <f t="shared" si="12"/>
        <v>46699.5</v>
      </c>
      <c r="K33" s="30">
        <f>K34+K39+K40</f>
        <v>46072.899999999994</v>
      </c>
      <c r="L33" s="30">
        <f t="shared" ref="L33:M33" si="13">L34+L39+L40</f>
        <v>45875.7</v>
      </c>
      <c r="M33" s="30">
        <f t="shared" si="13"/>
        <v>45888.6</v>
      </c>
      <c r="N33" s="30">
        <f t="shared" si="12"/>
        <v>45647.6</v>
      </c>
    </row>
    <row r="34" spans="1:14" x14ac:dyDescent="0.3">
      <c r="A34" s="241"/>
      <c r="B34" s="241"/>
      <c r="C34" s="244"/>
      <c r="D34" s="25" t="s">
        <v>75</v>
      </c>
      <c r="E34" s="28">
        <f>SUM(F34:N34)</f>
        <v>347867.09347999992</v>
      </c>
      <c r="F34" s="31">
        <f t="shared" ref="F34:N34" si="14">F36+F37+F38</f>
        <v>30365.8</v>
      </c>
      <c r="G34" s="31">
        <f t="shared" si="14"/>
        <v>38223.79</v>
      </c>
      <c r="H34" s="31">
        <f t="shared" si="14"/>
        <v>27812.064999999999</v>
      </c>
      <c r="I34" s="31">
        <f t="shared" si="14"/>
        <v>29837.638480000001</v>
      </c>
      <c r="J34" s="31">
        <f t="shared" si="14"/>
        <v>44115</v>
      </c>
      <c r="K34" s="31">
        <f>K36+K37+K38</f>
        <v>44579.899999999994</v>
      </c>
      <c r="L34" s="31">
        <f t="shared" ref="L34:M34" si="15">L36+L37+L38</f>
        <v>44382.7</v>
      </c>
      <c r="M34" s="31">
        <f t="shared" si="15"/>
        <v>44395.6</v>
      </c>
      <c r="N34" s="31">
        <f t="shared" si="14"/>
        <v>44154.6</v>
      </c>
    </row>
    <row r="35" spans="1:14" x14ac:dyDescent="0.3">
      <c r="A35" s="241"/>
      <c r="B35" s="241"/>
      <c r="C35" s="244"/>
      <c r="D35" s="26" t="s">
        <v>49</v>
      </c>
      <c r="E35" s="28">
        <f t="shared" si="7"/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</row>
    <row r="36" spans="1:14" ht="24.6" x14ac:dyDescent="0.3">
      <c r="A36" s="241"/>
      <c r="B36" s="241"/>
      <c r="C36" s="244"/>
      <c r="D36" s="26" t="s">
        <v>76</v>
      </c>
      <c r="E36" s="28">
        <f t="shared" si="7"/>
        <v>331346.27299999999</v>
      </c>
      <c r="F36" s="21">
        <f>'[1]Приложение5+'!M26-'[1]Приложение5+'!M36</f>
        <v>29966.6</v>
      </c>
      <c r="G36" s="21">
        <f>'[1]Приложение5+'!N26-'[1]Приложение6+'!G36-'[1]Приложение6+'!G37</f>
        <v>23955.79</v>
      </c>
      <c r="H36" s="21">
        <f>'[1]Приложение5+'!O27+'[1]Приложение5+'!O39+'[1]Приложение5+'!O31+4</f>
        <v>27416.082999999999</v>
      </c>
      <c r="I36" s="21">
        <f>Приложение5!P28-I38-I37</f>
        <v>29442.400000000001</v>
      </c>
      <c r="J36" s="21">
        <f>Приложение5!Q28-J38-J37</f>
        <v>43826.9</v>
      </c>
      <c r="K36" s="21">
        <f>Приложение5!R28-K38-K37</f>
        <v>44194.7</v>
      </c>
      <c r="L36" s="21">
        <f>Приложение5!S28-L38-L37</f>
        <v>44194.6</v>
      </c>
      <c r="M36" s="21">
        <f>Приложение5!T28-M38-M37</f>
        <v>44194.6</v>
      </c>
      <c r="N36" s="21">
        <f>Приложение5!U28-N38-N37</f>
        <v>44154.6</v>
      </c>
    </row>
    <row r="37" spans="1:14" ht="24.6" x14ac:dyDescent="0.3">
      <c r="A37" s="241"/>
      <c r="B37" s="241"/>
      <c r="C37" s="244"/>
      <c r="D37" s="26" t="s">
        <v>77</v>
      </c>
      <c r="E37" s="28">
        <v>2672.8</v>
      </c>
      <c r="F37" s="21">
        <f>'[1]Приложение5+'!M36</f>
        <v>399.2</v>
      </c>
      <c r="G37" s="21">
        <f>2000+50.9</f>
        <v>2050.9</v>
      </c>
      <c r="H37" s="21">
        <f>'[1]Приложение5+'!O36</f>
        <v>0</v>
      </c>
      <c r="I37" s="21">
        <v>75.099999999999994</v>
      </c>
      <c r="J37" s="21">
        <v>54.7</v>
      </c>
      <c r="K37" s="21">
        <v>46.2</v>
      </c>
      <c r="L37" s="21">
        <v>22.6</v>
      </c>
      <c r="M37" s="21">
        <v>24.1</v>
      </c>
      <c r="N37" s="21">
        <f>'[1]Приложение5+'!S36</f>
        <v>0</v>
      </c>
    </row>
    <row r="38" spans="1:14" ht="21" customHeight="1" x14ac:dyDescent="0.3">
      <c r="A38" s="241"/>
      <c r="B38" s="241"/>
      <c r="C38" s="244"/>
      <c r="D38" s="26" t="s">
        <v>78</v>
      </c>
      <c r="E38" s="28">
        <v>13848</v>
      </c>
      <c r="F38" s="21">
        <v>0</v>
      </c>
      <c r="G38" s="21">
        <f>6000+6000+217.1</f>
        <v>12217.1</v>
      </c>
      <c r="H38" s="21">
        <f>'[1]Приложение5+'!O33-4</f>
        <v>395.98200000000003</v>
      </c>
      <c r="I38" s="21">
        <f>'[1]Приложение5+'!P32-4-75.1</f>
        <v>320.13847999999996</v>
      </c>
      <c r="J38" s="21">
        <f>Приложение5!Q34-54.7-2.9</f>
        <v>233.4</v>
      </c>
      <c r="K38" s="21">
        <v>339</v>
      </c>
      <c r="L38" s="21">
        <v>165.5</v>
      </c>
      <c r="M38" s="21">
        <v>176.9</v>
      </c>
      <c r="N38" s="21">
        <f>Приложение5!U34</f>
        <v>0</v>
      </c>
    </row>
    <row r="39" spans="1:14" ht="36.6" x14ac:dyDescent="0.3">
      <c r="A39" s="241"/>
      <c r="B39" s="241"/>
      <c r="C39" s="244"/>
      <c r="D39" s="25" t="s">
        <v>79</v>
      </c>
      <c r="E39" s="28">
        <f t="shared" si="7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</row>
    <row r="40" spans="1:14" ht="15" customHeight="1" x14ac:dyDescent="0.3">
      <c r="A40" s="242"/>
      <c r="B40" s="242"/>
      <c r="C40" s="245"/>
      <c r="D40" s="25" t="s">
        <v>80</v>
      </c>
      <c r="E40" s="28">
        <f>SUM(F40:N40)</f>
        <v>16466.169999999998</v>
      </c>
      <c r="F40" s="21">
        <v>1397.8</v>
      </c>
      <c r="G40" s="85">
        <v>1605</v>
      </c>
      <c r="H40" s="21">
        <v>1744.57</v>
      </c>
      <c r="I40" s="21">
        <v>3162.3</v>
      </c>
      <c r="J40" s="21">
        <v>2584.5</v>
      </c>
      <c r="K40" s="21">
        <v>1493</v>
      </c>
      <c r="L40" s="21">
        <v>1493</v>
      </c>
      <c r="M40" s="21">
        <v>1493</v>
      </c>
      <c r="N40" s="21">
        <v>1493</v>
      </c>
    </row>
    <row r="41" spans="1:14" ht="15" customHeight="1" x14ac:dyDescent="0.3">
      <c r="A41" s="240" t="s">
        <v>11</v>
      </c>
      <c r="B41" s="240" t="s">
        <v>42</v>
      </c>
      <c r="C41" s="243" t="s">
        <v>57</v>
      </c>
      <c r="D41" s="24" t="s">
        <v>74</v>
      </c>
      <c r="E41" s="28">
        <f>SUM(F41:N41)</f>
        <v>132962.60924999998</v>
      </c>
      <c r="F41" s="30">
        <f t="shared" ref="F41:N41" si="16">F42+F47+F48</f>
        <v>8056.1</v>
      </c>
      <c r="G41" s="30">
        <f t="shared" si="16"/>
        <v>10736.38</v>
      </c>
      <c r="H41" s="30">
        <f t="shared" si="16"/>
        <v>15307.129250000002</v>
      </c>
      <c r="I41" s="30">
        <f t="shared" si="16"/>
        <v>14997.7</v>
      </c>
      <c r="J41" s="30">
        <f t="shared" si="16"/>
        <v>20219.7</v>
      </c>
      <c r="K41" s="30">
        <f>K42+K47+K48</f>
        <v>15911.4</v>
      </c>
      <c r="L41" s="30">
        <f t="shared" ref="L41:M41" si="17">L42+L47+L48</f>
        <v>15911.4</v>
      </c>
      <c r="M41" s="30">
        <f t="shared" si="17"/>
        <v>15911.4</v>
      </c>
      <c r="N41" s="30">
        <f t="shared" si="16"/>
        <v>15911.4</v>
      </c>
    </row>
    <row r="42" spans="1:14" x14ac:dyDescent="0.3">
      <c r="A42" s="241"/>
      <c r="B42" s="241"/>
      <c r="C42" s="244"/>
      <c r="D42" s="25" t="s">
        <v>75</v>
      </c>
      <c r="E42" s="28">
        <f t="shared" ref="E42:E64" si="18">SUM(F42:N42)</f>
        <v>99352.838249999986</v>
      </c>
      <c r="F42" s="31">
        <f t="shared" ref="F42:N42" si="19">F44+F45+F46</f>
        <v>7686</v>
      </c>
      <c r="G42" s="31">
        <f t="shared" si="19"/>
        <v>9376.3799999999992</v>
      </c>
      <c r="H42" s="31">
        <f t="shared" si="19"/>
        <v>11630.958250000001</v>
      </c>
      <c r="I42" s="31">
        <f t="shared" si="19"/>
        <v>8923</v>
      </c>
      <c r="J42" s="31">
        <f t="shared" si="19"/>
        <v>13690.9</v>
      </c>
      <c r="K42" s="31">
        <f>K44+K45+K46</f>
        <v>12011.4</v>
      </c>
      <c r="L42" s="31">
        <f t="shared" ref="L42:M42" si="20">L44+L45+L46</f>
        <v>12011.4</v>
      </c>
      <c r="M42" s="31">
        <f t="shared" si="20"/>
        <v>12011.4</v>
      </c>
      <c r="N42" s="31">
        <f t="shared" si="19"/>
        <v>12011.4</v>
      </c>
    </row>
    <row r="43" spans="1:14" x14ac:dyDescent="0.3">
      <c r="A43" s="241"/>
      <c r="B43" s="241"/>
      <c r="C43" s="244"/>
      <c r="D43" s="26" t="s">
        <v>49</v>
      </c>
      <c r="E43" s="28">
        <f t="shared" si="18"/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</row>
    <row r="44" spans="1:14" ht="24.6" x14ac:dyDescent="0.3">
      <c r="A44" s="241"/>
      <c r="B44" s="241"/>
      <c r="C44" s="244"/>
      <c r="D44" s="26" t="s">
        <v>76</v>
      </c>
      <c r="E44" s="28">
        <f t="shared" si="18"/>
        <v>96319.067249999993</v>
      </c>
      <c r="F44" s="21">
        <f>'[1]Приложение5+'!M43</f>
        <v>7686</v>
      </c>
      <c r="G44" s="21">
        <f>'[1]Приложение5+'!N43</f>
        <v>9376.3799999999992</v>
      </c>
      <c r="H44" s="21">
        <f>'[1]Приложение5+'!O44+30.7</f>
        <v>8597.1872500000009</v>
      </c>
      <c r="I44" s="21">
        <f>Приложение5!P46</f>
        <v>8923</v>
      </c>
      <c r="J44" s="21">
        <f>Приложение5!Q46</f>
        <v>13690.9</v>
      </c>
      <c r="K44" s="21">
        <f>Приложение5!R46</f>
        <v>12011.4</v>
      </c>
      <c r="L44" s="21">
        <f>Приложение5!S46</f>
        <v>12011.4</v>
      </c>
      <c r="M44" s="21">
        <f>Приложение5!T46</f>
        <v>12011.4</v>
      </c>
      <c r="N44" s="21">
        <f>Приложение5!U46</f>
        <v>12011.4</v>
      </c>
    </row>
    <row r="45" spans="1:14" ht="24.6" x14ac:dyDescent="0.3">
      <c r="A45" s="241"/>
      <c r="B45" s="241"/>
      <c r="C45" s="244"/>
      <c r="D45" s="26" t="s">
        <v>77</v>
      </c>
      <c r="E45" s="28">
        <f t="shared" si="18"/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</row>
    <row r="46" spans="1:14" ht="21.75" customHeight="1" x14ac:dyDescent="0.3">
      <c r="A46" s="241"/>
      <c r="B46" s="241"/>
      <c r="C46" s="244"/>
      <c r="D46" s="26" t="s">
        <v>78</v>
      </c>
      <c r="E46" s="28">
        <f t="shared" si="18"/>
        <v>3033.7710000000002</v>
      </c>
      <c r="F46" s="21">
        <v>0</v>
      </c>
      <c r="G46" s="21">
        <v>0</v>
      </c>
      <c r="H46" s="21">
        <f>'[1]Приложение5+'!O48-30.7</f>
        <v>3033.7710000000002</v>
      </c>
      <c r="I46" s="21">
        <f>'[1]Приложение5+'!P48</f>
        <v>0</v>
      </c>
      <c r="J46" s="21">
        <f>'[1]Приложение5+'!Q48</f>
        <v>0</v>
      </c>
      <c r="K46" s="21">
        <f>'[1]Приложение5+'!R48</f>
        <v>0</v>
      </c>
      <c r="L46" s="21">
        <f>'[1]Приложение5+'!Q48</f>
        <v>0</v>
      </c>
      <c r="M46" s="21">
        <f>'[1]Приложение5+'!R48</f>
        <v>0</v>
      </c>
      <c r="N46" s="21">
        <f>'[1]Приложение5+'!S48</f>
        <v>0</v>
      </c>
    </row>
    <row r="47" spans="1:14" ht="36.6" x14ac:dyDescent="0.3">
      <c r="A47" s="241"/>
      <c r="B47" s="241"/>
      <c r="C47" s="244"/>
      <c r="D47" s="25" t="s">
        <v>79</v>
      </c>
      <c r="E47" s="28">
        <f t="shared" si="18"/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</row>
    <row r="48" spans="1:14" ht="15" customHeight="1" x14ac:dyDescent="0.3">
      <c r="A48" s="242"/>
      <c r="B48" s="242"/>
      <c r="C48" s="245"/>
      <c r="D48" s="25" t="s">
        <v>80</v>
      </c>
      <c r="E48" s="28">
        <f t="shared" si="18"/>
        <v>33609.771000000001</v>
      </c>
      <c r="F48" s="21">
        <v>370.1</v>
      </c>
      <c r="G48" s="85">
        <v>1360</v>
      </c>
      <c r="H48" s="21">
        <v>3676.1709999999998</v>
      </c>
      <c r="I48" s="21">
        <v>6074.7</v>
      </c>
      <c r="J48" s="21">
        <v>6528.8</v>
      </c>
      <c r="K48" s="21">
        <v>3900</v>
      </c>
      <c r="L48" s="21">
        <v>3900</v>
      </c>
      <c r="M48" s="21">
        <v>3900</v>
      </c>
      <c r="N48" s="21">
        <v>3900</v>
      </c>
    </row>
    <row r="49" spans="1:14" ht="15" customHeight="1" x14ac:dyDescent="0.3">
      <c r="A49" s="240" t="s">
        <v>11</v>
      </c>
      <c r="B49" s="240" t="s">
        <v>44</v>
      </c>
      <c r="C49" s="243" t="s">
        <v>43</v>
      </c>
      <c r="D49" s="24" t="s">
        <v>74</v>
      </c>
      <c r="E49" s="28">
        <f t="shared" si="18"/>
        <v>7679.8</v>
      </c>
      <c r="F49" s="30">
        <f t="shared" ref="F49:N49" si="21">F50+F55+F56</f>
        <v>460.7</v>
      </c>
      <c r="G49" s="30">
        <f t="shared" si="21"/>
        <v>0</v>
      </c>
      <c r="H49" s="30">
        <f t="shared" si="21"/>
        <v>319</v>
      </c>
      <c r="I49" s="30">
        <f t="shared" si="21"/>
        <v>2943.3</v>
      </c>
      <c r="J49" s="30">
        <f t="shared" si="21"/>
        <v>3956.8</v>
      </c>
      <c r="K49" s="30">
        <f>K50+K55+K56</f>
        <v>0</v>
      </c>
      <c r="L49" s="30">
        <f t="shared" ref="L49:M49" si="22">L50+L55+L56</f>
        <v>0</v>
      </c>
      <c r="M49" s="30">
        <f t="shared" si="22"/>
        <v>0</v>
      </c>
      <c r="N49" s="30">
        <f t="shared" si="21"/>
        <v>0</v>
      </c>
    </row>
    <row r="50" spans="1:14" x14ac:dyDescent="0.3">
      <c r="A50" s="241"/>
      <c r="B50" s="241"/>
      <c r="C50" s="244"/>
      <c r="D50" s="25" t="s">
        <v>75</v>
      </c>
      <c r="E50" s="28">
        <f t="shared" si="18"/>
        <v>7679.8</v>
      </c>
      <c r="F50" s="31">
        <f t="shared" ref="F50:N50" si="23">F52+F53+F54</f>
        <v>460.7</v>
      </c>
      <c r="G50" s="31">
        <f t="shared" si="23"/>
        <v>0</v>
      </c>
      <c r="H50" s="31">
        <f t="shared" si="23"/>
        <v>319</v>
      </c>
      <c r="I50" s="31">
        <f t="shared" si="23"/>
        <v>2943.3</v>
      </c>
      <c r="J50" s="31">
        <f t="shared" si="23"/>
        <v>3956.8</v>
      </c>
      <c r="K50" s="31">
        <f>K52+K53+K54</f>
        <v>0</v>
      </c>
      <c r="L50" s="31">
        <f t="shared" ref="L50:M50" si="24">L52+L53+L54</f>
        <v>0</v>
      </c>
      <c r="M50" s="31">
        <f t="shared" si="24"/>
        <v>0</v>
      </c>
      <c r="N50" s="31">
        <f t="shared" si="23"/>
        <v>0</v>
      </c>
    </row>
    <row r="51" spans="1:14" x14ac:dyDescent="0.3">
      <c r="A51" s="241"/>
      <c r="B51" s="241"/>
      <c r="C51" s="244"/>
      <c r="D51" s="26" t="s">
        <v>49</v>
      </c>
      <c r="E51" s="28">
        <f t="shared" si="18"/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</row>
    <row r="52" spans="1:14" ht="24.6" x14ac:dyDescent="0.3">
      <c r="A52" s="241"/>
      <c r="B52" s="241"/>
      <c r="C52" s="244"/>
      <c r="D52" s="26" t="s">
        <v>76</v>
      </c>
      <c r="E52" s="28">
        <f t="shared" si="18"/>
        <v>1804.0000000000002</v>
      </c>
      <c r="F52" s="21">
        <f>'[1]Приложение5+'!M50+'[1]Приложение5+'!M51</f>
        <v>460.7</v>
      </c>
      <c r="G52" s="21">
        <f>'[1]Приложение5+'!N50</f>
        <v>0</v>
      </c>
      <c r="H52" s="21">
        <f>'[1]Приложение5+'!O49</f>
        <v>319</v>
      </c>
      <c r="I52" s="21">
        <f>Приложение5!P58+Приложение5!P60+Приложение5!P64+Приложение5!P63</f>
        <v>340</v>
      </c>
      <c r="J52" s="21">
        <f>Приложение5!Q53-J54</f>
        <v>684.30000000000018</v>
      </c>
      <c r="K52" s="21">
        <f>Приложение5!R58+Приложение5!R60+Приложение5!R64</f>
        <v>0</v>
      </c>
      <c r="L52" s="21">
        <f>Приложение5!S58+Приложение5!S60+Приложение5!S64</f>
        <v>0</v>
      </c>
      <c r="M52" s="21">
        <f>Приложение5!T58+Приложение5!T60+Приложение5!T64</f>
        <v>0</v>
      </c>
      <c r="N52" s="21">
        <f>Приложение5!U58+Приложение5!U60+Приложение5!U64</f>
        <v>0</v>
      </c>
    </row>
    <row r="53" spans="1:14" ht="24.6" x14ac:dyDescent="0.3">
      <c r="A53" s="241"/>
      <c r="B53" s="241"/>
      <c r="C53" s="244"/>
      <c r="D53" s="26" t="s">
        <v>77</v>
      </c>
      <c r="E53" s="28">
        <f t="shared" si="18"/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</row>
    <row r="54" spans="1:14" ht="21.75" customHeight="1" x14ac:dyDescent="0.3">
      <c r="A54" s="241"/>
      <c r="B54" s="241"/>
      <c r="C54" s="244"/>
      <c r="D54" s="26" t="s">
        <v>78</v>
      </c>
      <c r="E54" s="28">
        <f t="shared" si="18"/>
        <v>5875.8</v>
      </c>
      <c r="F54" s="21">
        <v>0</v>
      </c>
      <c r="G54" s="21">
        <v>0</v>
      </c>
      <c r="H54" s="21">
        <v>0</v>
      </c>
      <c r="I54" s="21">
        <f>Приложение5!P62</f>
        <v>2603.3000000000002</v>
      </c>
      <c r="J54" s="21">
        <f>Приложение5!Q54</f>
        <v>3272.5</v>
      </c>
      <c r="K54" s="21">
        <f>Приложение5!R54</f>
        <v>0</v>
      </c>
      <c r="L54" s="21">
        <f>Приложение5!S54</f>
        <v>0</v>
      </c>
      <c r="M54" s="21">
        <f>Приложение5!T54</f>
        <v>0</v>
      </c>
      <c r="N54" s="21">
        <f>Приложение5!U54</f>
        <v>0</v>
      </c>
    </row>
    <row r="55" spans="1:14" ht="36.6" x14ac:dyDescent="0.3">
      <c r="A55" s="241"/>
      <c r="B55" s="241"/>
      <c r="C55" s="244"/>
      <c r="D55" s="25" t="s">
        <v>79</v>
      </c>
      <c r="E55" s="28">
        <f t="shared" si="18"/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</row>
    <row r="56" spans="1:14" ht="15" customHeight="1" x14ac:dyDescent="0.3">
      <c r="A56" s="242"/>
      <c r="B56" s="242"/>
      <c r="C56" s="245"/>
      <c r="D56" s="25" t="s">
        <v>80</v>
      </c>
      <c r="E56" s="28">
        <f t="shared" si="18"/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</row>
    <row r="57" spans="1:14" ht="15" customHeight="1" x14ac:dyDescent="0.3">
      <c r="A57" s="240" t="s">
        <v>11</v>
      </c>
      <c r="B57" s="240" t="s">
        <v>45</v>
      </c>
      <c r="C57" s="243" t="s">
        <v>66</v>
      </c>
      <c r="D57" s="24" t="s">
        <v>74</v>
      </c>
      <c r="E57" s="28">
        <f t="shared" si="18"/>
        <v>180463.57901999998</v>
      </c>
      <c r="F57" s="30">
        <f t="shared" ref="F57:N57" si="25">F58+F63+F64</f>
        <v>23978.799999999999</v>
      </c>
      <c r="G57" s="30">
        <f t="shared" si="25"/>
        <v>64735.700000000004</v>
      </c>
      <c r="H57" s="30">
        <f t="shared" si="25"/>
        <v>22652.279020000002</v>
      </c>
      <c r="I57" s="30">
        <f t="shared" si="25"/>
        <v>10845.6</v>
      </c>
      <c r="J57" s="30">
        <f t="shared" si="25"/>
        <v>13723</v>
      </c>
      <c r="K57" s="30">
        <f>K58+K63+K64</f>
        <v>10705.4</v>
      </c>
      <c r="L57" s="30">
        <f t="shared" ref="L57:M57" si="26">L58+L63+L64</f>
        <v>11590.9</v>
      </c>
      <c r="M57" s="30">
        <f t="shared" si="26"/>
        <v>11526.5</v>
      </c>
      <c r="N57" s="30">
        <f t="shared" si="25"/>
        <v>10705.4</v>
      </c>
    </row>
    <row r="58" spans="1:14" x14ac:dyDescent="0.3">
      <c r="A58" s="241"/>
      <c r="B58" s="241"/>
      <c r="C58" s="244"/>
      <c r="D58" s="25" t="s">
        <v>75</v>
      </c>
      <c r="E58" s="28">
        <f t="shared" si="18"/>
        <v>180463.57901999998</v>
      </c>
      <c r="F58" s="31">
        <f t="shared" ref="F58:N58" si="27">F60+F61+F62</f>
        <v>23978.799999999999</v>
      </c>
      <c r="G58" s="31">
        <f t="shared" si="27"/>
        <v>64735.700000000004</v>
      </c>
      <c r="H58" s="31">
        <f t="shared" si="27"/>
        <v>22652.279020000002</v>
      </c>
      <c r="I58" s="31">
        <f t="shared" si="27"/>
        <v>10845.6</v>
      </c>
      <c r="J58" s="31">
        <f t="shared" si="27"/>
        <v>13723</v>
      </c>
      <c r="K58" s="31">
        <f>K60+K61+K62</f>
        <v>10705.4</v>
      </c>
      <c r="L58" s="31">
        <f t="shared" ref="L58:M58" si="28">L60+L61+L62</f>
        <v>11590.9</v>
      </c>
      <c r="M58" s="31">
        <f t="shared" si="28"/>
        <v>11526.5</v>
      </c>
      <c r="N58" s="31">
        <f t="shared" si="27"/>
        <v>10705.4</v>
      </c>
    </row>
    <row r="59" spans="1:14" x14ac:dyDescent="0.3">
      <c r="A59" s="241"/>
      <c r="B59" s="241"/>
      <c r="C59" s="244"/>
      <c r="D59" s="26" t="s">
        <v>49</v>
      </c>
      <c r="E59" s="28">
        <f t="shared" si="18"/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</row>
    <row r="60" spans="1:14" ht="24.6" x14ac:dyDescent="0.3">
      <c r="A60" s="241"/>
      <c r="B60" s="241"/>
      <c r="C60" s="244"/>
      <c r="D60" s="26" t="s">
        <v>76</v>
      </c>
      <c r="E60" s="28">
        <f t="shared" si="18"/>
        <v>106858.89902</v>
      </c>
      <c r="F60" s="21">
        <f>Приложение5!M66-F61</f>
        <v>22528.799999999999</v>
      </c>
      <c r="G60" s="21">
        <f>'[1]Приложение5+'!N57-'[1]Приложение6+'!G60-'[1]Приложение6+'!G61</f>
        <v>9533.7100000000064</v>
      </c>
      <c r="H60" s="21">
        <f>'[1]Приложение5+'!O57-H61-H62</f>
        <v>5849.5890200000013</v>
      </c>
      <c r="I60" s="21">
        <f>Приложение5!P66</f>
        <v>10845.6</v>
      </c>
      <c r="J60" s="21">
        <f>Приложение5!Q66-J61</f>
        <v>13573</v>
      </c>
      <c r="K60" s="21">
        <f>Приложение5!R66</f>
        <v>10705.4</v>
      </c>
      <c r="L60" s="21">
        <f>Приложение5!S66</f>
        <v>11590.9</v>
      </c>
      <c r="M60" s="21">
        <f>Приложение5!T66</f>
        <v>11526.5</v>
      </c>
      <c r="N60" s="21">
        <f>Приложение5!U66</f>
        <v>10705.4</v>
      </c>
    </row>
    <row r="61" spans="1:14" ht="24.6" x14ac:dyDescent="0.3">
      <c r="A61" s="241"/>
      <c r="B61" s="241"/>
      <c r="C61" s="244"/>
      <c r="D61" s="26" t="s">
        <v>77</v>
      </c>
      <c r="E61" s="28">
        <f t="shared" si="18"/>
        <v>33041.08</v>
      </c>
      <c r="F61" s="21">
        <f>'[1]Приложение5+'!M66</f>
        <v>1450</v>
      </c>
      <c r="G61" s="21">
        <f>7638.39+15000</f>
        <v>22638.39</v>
      </c>
      <c r="H61" s="21">
        <f>'[1]Приложение5+'!O83</f>
        <v>8802.69</v>
      </c>
      <c r="I61" s="21">
        <f>'[1]Приложение5+'!P83</f>
        <v>0</v>
      </c>
      <c r="J61" s="21">
        <f>Приложение5!Q87</f>
        <v>150</v>
      </c>
      <c r="K61" s="21">
        <f>'[1]Приложение5+'!R83</f>
        <v>0</v>
      </c>
      <c r="L61" s="21">
        <f>'[1]Приложение5+'!Q83</f>
        <v>0</v>
      </c>
      <c r="M61" s="21">
        <f>'[1]Приложение5+'!R83</f>
        <v>0</v>
      </c>
      <c r="N61" s="21">
        <f>'[1]Приложение5+'!S83</f>
        <v>0</v>
      </c>
    </row>
    <row r="62" spans="1:14" ht="21.75" customHeight="1" x14ac:dyDescent="0.3">
      <c r="A62" s="241"/>
      <c r="B62" s="241"/>
      <c r="C62" s="244"/>
      <c r="D62" s="26" t="s">
        <v>78</v>
      </c>
      <c r="E62" s="28">
        <f t="shared" si="18"/>
        <v>40563.599999999999</v>
      </c>
      <c r="F62" s="27">
        <v>0</v>
      </c>
      <c r="G62" s="27">
        <v>32563.599999999999</v>
      </c>
      <c r="H62" s="21">
        <f>'[1]Приложение5+'!O86-80.8</f>
        <v>8000</v>
      </c>
      <c r="I62" s="21">
        <f>'[1]Приложение5+'!P86</f>
        <v>0</v>
      </c>
      <c r="J62" s="21">
        <f>'[1]Приложение5+'!Q86</f>
        <v>0</v>
      </c>
      <c r="K62" s="21">
        <f>'[1]Приложение5+'!R86</f>
        <v>0</v>
      </c>
      <c r="L62" s="21">
        <f>'[1]Приложение5+'!Q86</f>
        <v>0</v>
      </c>
      <c r="M62" s="21">
        <f>'[1]Приложение5+'!R86</f>
        <v>0</v>
      </c>
      <c r="N62" s="21">
        <f>'[1]Приложение5+'!S86</f>
        <v>0</v>
      </c>
    </row>
    <row r="63" spans="1:14" ht="36.6" x14ac:dyDescent="0.3">
      <c r="A63" s="241"/>
      <c r="B63" s="241"/>
      <c r="C63" s="244"/>
      <c r="D63" s="25" t="s">
        <v>79</v>
      </c>
      <c r="E63" s="28">
        <f t="shared" si="18"/>
        <v>0</v>
      </c>
      <c r="F63" s="27">
        <v>0</v>
      </c>
      <c r="G63" s="27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</row>
    <row r="64" spans="1:14" x14ac:dyDescent="0.3">
      <c r="A64" s="242"/>
      <c r="B64" s="242"/>
      <c r="C64" s="245"/>
      <c r="D64" s="25" t="s">
        <v>80</v>
      </c>
      <c r="E64" s="28">
        <f t="shared" si="18"/>
        <v>0</v>
      </c>
      <c r="F64" s="27">
        <v>0</v>
      </c>
      <c r="G64" s="27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</row>
    <row r="65" spans="14:14" x14ac:dyDescent="0.3">
      <c r="N65" s="146" t="s">
        <v>199</v>
      </c>
    </row>
  </sheetData>
  <mergeCells count="38">
    <mergeCell ref="A11:N11"/>
    <mergeCell ref="B57:B64"/>
    <mergeCell ref="C57:C64"/>
    <mergeCell ref="B25:B32"/>
    <mergeCell ref="C25:C32"/>
    <mergeCell ref="A33:A40"/>
    <mergeCell ref="B33:B40"/>
    <mergeCell ref="C33:C40"/>
    <mergeCell ref="A49:A56"/>
    <mergeCell ref="B49:B56"/>
    <mergeCell ref="C49:C56"/>
    <mergeCell ref="A57:A64"/>
    <mergeCell ref="A25:A32"/>
    <mergeCell ref="A41:A48"/>
    <mergeCell ref="B41:B48"/>
    <mergeCell ref="C41:C48"/>
    <mergeCell ref="I14:I15"/>
    <mergeCell ref="J14:J15"/>
    <mergeCell ref="K14:K15"/>
    <mergeCell ref="N14:N15"/>
    <mergeCell ref="L14:L15"/>
    <mergeCell ref="M14:M15"/>
    <mergeCell ref="I1:J1"/>
    <mergeCell ref="G3:J3"/>
    <mergeCell ref="I4:J4"/>
    <mergeCell ref="G7:J7"/>
    <mergeCell ref="A17:A24"/>
    <mergeCell ref="B17:B24"/>
    <mergeCell ref="C17:C24"/>
    <mergeCell ref="A9:N9"/>
    <mergeCell ref="A10:N10"/>
    <mergeCell ref="A13:B14"/>
    <mergeCell ref="D13:D15"/>
    <mergeCell ref="E13:N13"/>
    <mergeCell ref="E14:E15"/>
    <mergeCell ref="F14:F15"/>
    <mergeCell ref="G14:G15"/>
    <mergeCell ref="H14:H15"/>
  </mergeCells>
  <pageMargins left="0.3" right="0.25" top="0.19" bottom="0.2" header="0.2" footer="0.19"/>
  <pageSetup paperSize="9" scale="8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4</vt:lpstr>
      <vt:lpstr>Приложение5</vt:lpstr>
      <vt:lpstr>Приложение6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2025-04-16T10:32:02Z</dcterms:modified>
</cp:coreProperties>
</file>